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Formation/ERUDITUS/ILPSE 2024/Cours ILPSE 12/"/>
    </mc:Choice>
  </mc:AlternateContent>
  <xr:revisionPtr revIDLastSave="0" documentId="8_{F6D8ACB7-F868-9E42-9016-9AC1CAFF90BD}" xr6:coauthVersionLast="47" xr6:coauthVersionMax="47" xr10:uidLastSave="{00000000-0000-0000-0000-000000000000}"/>
  <bookViews>
    <workbookView xWindow="280" yWindow="1900" windowWidth="27040" windowHeight="15020" tabRatio="708" xr2:uid="{00000000-000D-0000-FFFF-FFFF00000000}"/>
  </bookViews>
  <sheets>
    <sheet name="Présentation" sheetId="21" r:id="rId1"/>
    <sheet name="Historique P&amp;L" sheetId="6" r:id="rId2"/>
    <sheet name="Historique Bilan" sheetId="5" r:id="rId3"/>
    <sheet name="EBITDA - Capex  GR" sheetId="19" r:id="rId4"/>
    <sheet name="Analyse financière" sheetId="7" r:id="rId5"/>
    <sheet name="CCC historique GR" sheetId="16" r:id="rId6"/>
    <sheet name="ROCE historique GR" sheetId="15" r:id="rId7"/>
    <sheet name="Prévision CA 5 ans" sheetId="4" r:id="rId8"/>
    <sheet name="Prévision P&amp;L &amp; CF" sheetId="1" r:id="rId9"/>
    <sheet name="Prévision P&amp;L &amp; CF GR" sheetId="18" r:id="rId10"/>
    <sheet name="Prévision CA &amp; CE GR" sheetId="20" r:id="rId11"/>
    <sheet name="Prévision Bilan" sheetId="2" r:id="rId12"/>
    <sheet name="Taux" sheetId="17" r:id="rId13"/>
    <sheet name="Evaluation" sheetId="11" r:id="rId14"/>
    <sheet name="Structuration" sheetId="10" r:id="rId15"/>
    <sheet name="Prévision Holding" sheetId="14" r:id="rId16"/>
    <sheet name="Obligation subordonnée" sheetId="9" r:id="rId17"/>
    <sheet name="Obligation remboursabe" sheetId="8" r:id="rId18"/>
    <sheet name="Actions ordinaires" sheetId="3" r:id="rId19"/>
    <sheet name="Global" sheetId="13" r:id="rId20"/>
    <sheet name="Dénouement" sheetId="1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4" l="1"/>
  <c r="D51" i="12" l="1"/>
  <c r="C51" i="12"/>
  <c r="D50" i="12"/>
  <c r="C50" i="12"/>
  <c r="D5" i="10"/>
  <c r="M11" i="1"/>
  <c r="M9" i="1"/>
  <c r="D60" i="6"/>
  <c r="E60" i="6"/>
  <c r="F60" i="6"/>
  <c r="C60" i="6"/>
  <c r="C18" i="1"/>
  <c r="L36" i="14"/>
  <c r="D36" i="14"/>
  <c r="C36" i="14"/>
  <c r="C38" i="14"/>
  <c r="E46" i="14" l="1"/>
  <c r="D11" i="6"/>
  <c r="D15" i="6" s="1"/>
  <c r="D10" i="7" s="1"/>
  <c r="E11" i="6"/>
  <c r="E15" i="6" s="1"/>
  <c r="E10" i="7" s="1"/>
  <c r="F11" i="6"/>
  <c r="F15" i="6" s="1"/>
  <c r="F31" i="6" s="1"/>
  <c r="F36" i="6" s="1"/>
  <c r="F43" i="6" s="1"/>
  <c r="F44" i="7" s="1"/>
  <c r="C11" i="6"/>
  <c r="C15" i="6" s="1"/>
  <c r="C10" i="7" s="1"/>
  <c r="G10" i="6"/>
  <c r="B41" i="1"/>
  <c r="C32" i="7"/>
  <c r="D32" i="7"/>
  <c r="E32" i="7"/>
  <c r="F32" i="7"/>
  <c r="B32" i="7"/>
  <c r="C30" i="7"/>
  <c r="D30" i="7"/>
  <c r="E30" i="7"/>
  <c r="F30" i="7"/>
  <c r="B30" i="7"/>
  <c r="C26" i="7"/>
  <c r="D26" i="7"/>
  <c r="E26" i="7"/>
  <c r="F26" i="7"/>
  <c r="B26" i="7"/>
  <c r="D36" i="7"/>
  <c r="E36" i="7"/>
  <c r="F36" i="7"/>
  <c r="C36" i="7"/>
  <c r="C44" i="14"/>
  <c r="E40" i="14"/>
  <c r="B18" i="2"/>
  <c r="C18" i="2" s="1"/>
  <c r="E26" i="11"/>
  <c r="E25" i="11"/>
  <c r="E24" i="11"/>
  <c r="L38" i="14"/>
  <c r="C25" i="14"/>
  <c r="L48" i="14"/>
  <c r="F38" i="14"/>
  <c r="H38" i="14"/>
  <c r="I38" i="14"/>
  <c r="J38" i="14"/>
  <c r="K38" i="14"/>
  <c r="G38" i="14"/>
  <c r="D38" i="14"/>
  <c r="E38" i="14"/>
  <c r="D44" i="14"/>
  <c r="B25" i="14"/>
  <c r="B23" i="14"/>
  <c r="B18" i="14"/>
  <c r="C18" i="14" s="1"/>
  <c r="D18" i="14" s="1"/>
  <c r="E18" i="14" s="1"/>
  <c r="F18" i="14" s="1"/>
  <c r="G18" i="14" s="1"/>
  <c r="H18" i="14" s="1"/>
  <c r="I18" i="14" s="1"/>
  <c r="J18" i="14" s="1"/>
  <c r="K18" i="14" s="1"/>
  <c r="B16" i="14"/>
  <c r="C16" i="14" s="1"/>
  <c r="D16" i="14" s="1"/>
  <c r="E16" i="14" s="1"/>
  <c r="F16" i="14" s="1"/>
  <c r="G16" i="14" s="1"/>
  <c r="H16" i="14" s="1"/>
  <c r="I16" i="14" s="1"/>
  <c r="J16" i="14" s="1"/>
  <c r="K16" i="14" s="1"/>
  <c r="B14" i="14"/>
  <c r="B21" i="14" s="1"/>
  <c r="B27" i="14" s="1"/>
  <c r="B8" i="14"/>
  <c r="C8" i="14" s="1"/>
  <c r="D8" i="14" s="1"/>
  <c r="E8" i="14" s="1"/>
  <c r="F8" i="14" s="1"/>
  <c r="G8" i="14" s="1"/>
  <c r="H8" i="14" s="1"/>
  <c r="I8" i="14" s="1"/>
  <c r="J8" i="14" s="1"/>
  <c r="K8" i="14" s="1"/>
  <c r="L8" i="14" s="1"/>
  <c r="B5" i="14"/>
  <c r="B31" i="14" s="1"/>
  <c r="C20" i="1"/>
  <c r="F64" i="7"/>
  <c r="F54" i="7"/>
  <c r="F56" i="7" s="1"/>
  <c r="B58" i="2"/>
  <c r="B53" i="2"/>
  <c r="B51" i="2"/>
  <c r="B67" i="2" s="1"/>
  <c r="C48" i="1"/>
  <c r="D48" i="1"/>
  <c r="E48" i="1"/>
  <c r="F48" i="1"/>
  <c r="G48" i="1"/>
  <c r="H48" i="1"/>
  <c r="I48" i="1"/>
  <c r="J48" i="1"/>
  <c r="K48" i="1"/>
  <c r="L48" i="1"/>
  <c r="B48" i="1"/>
  <c r="B40" i="2"/>
  <c r="B33" i="2"/>
  <c r="B12" i="2"/>
  <c r="C22" i="7"/>
  <c r="D22" i="7"/>
  <c r="E22" i="7"/>
  <c r="F22" i="7"/>
  <c r="B22" i="7"/>
  <c r="B30" i="1"/>
  <c r="B23" i="1"/>
  <c r="L17" i="4"/>
  <c r="L14" i="4"/>
  <c r="L11" i="4"/>
  <c r="J17" i="4"/>
  <c r="J14" i="4"/>
  <c r="J11" i="4"/>
  <c r="H17" i="4"/>
  <c r="H14" i="4"/>
  <c r="H11" i="4"/>
  <c r="F17" i="4"/>
  <c r="F14" i="4"/>
  <c r="F11" i="4"/>
  <c r="D17" i="4"/>
  <c r="D14" i="4"/>
  <c r="D11" i="4"/>
  <c r="C23" i="4"/>
  <c r="C14" i="4"/>
  <c r="C11" i="4"/>
  <c r="L23" i="4"/>
  <c r="M14" i="4" s="1"/>
  <c r="J23" i="4"/>
  <c r="K11" i="4" s="1"/>
  <c r="H23" i="4"/>
  <c r="I14" i="4" s="1"/>
  <c r="F23" i="4"/>
  <c r="G14" i="4" s="1"/>
  <c r="D23" i="4"/>
  <c r="E11" i="4" s="1"/>
  <c r="B23" i="4"/>
  <c r="F18" i="7"/>
  <c r="F75" i="7" s="1"/>
  <c r="D82" i="6"/>
  <c r="E82" i="6"/>
  <c r="F82" i="6"/>
  <c r="C82" i="6"/>
  <c r="D77" i="6"/>
  <c r="E77" i="6"/>
  <c r="F77" i="6"/>
  <c r="C77" i="6"/>
  <c r="F77" i="5"/>
  <c r="E77" i="5"/>
  <c r="E18" i="7" s="1"/>
  <c r="E75" i="7" s="1"/>
  <c r="D77" i="5"/>
  <c r="D18" i="7" s="1"/>
  <c r="D75" i="7" s="1"/>
  <c r="C77" i="5"/>
  <c r="F75" i="5"/>
  <c r="E75" i="5"/>
  <c r="D75" i="5"/>
  <c r="C75" i="5"/>
  <c r="F70" i="5"/>
  <c r="E70" i="5"/>
  <c r="D70" i="5"/>
  <c r="C70" i="5"/>
  <c r="F68" i="5"/>
  <c r="F24" i="7" s="1"/>
  <c r="E68" i="5"/>
  <c r="E24" i="7" s="1"/>
  <c r="D68" i="5"/>
  <c r="D24" i="7" s="1"/>
  <c r="C68" i="5"/>
  <c r="C24" i="7" s="1"/>
  <c r="B77" i="5"/>
  <c r="B18" i="7" s="1"/>
  <c r="B75" i="7" s="1"/>
  <c r="B75" i="5"/>
  <c r="B70" i="5"/>
  <c r="B68" i="5"/>
  <c r="B24" i="7" s="1"/>
  <c r="B66" i="5"/>
  <c r="D62" i="6"/>
  <c r="D38" i="7" s="1"/>
  <c r="E62" i="6"/>
  <c r="E38" i="7" s="1"/>
  <c r="F62" i="6"/>
  <c r="F38" i="7" s="1"/>
  <c r="C62" i="6"/>
  <c r="C38" i="7" s="1"/>
  <c r="C44" i="5"/>
  <c r="C86" i="5" s="1"/>
  <c r="D44" i="5"/>
  <c r="E44" i="5"/>
  <c r="F44" i="5"/>
  <c r="F56" i="5" s="1"/>
  <c r="B44" i="5"/>
  <c r="B56" i="5" s="1"/>
  <c r="B15" i="6"/>
  <c r="B10" i="7" s="1"/>
  <c r="B28" i="6"/>
  <c r="C28" i="6"/>
  <c r="D28" i="6"/>
  <c r="E28" i="6"/>
  <c r="B57" i="6"/>
  <c r="C57" i="6"/>
  <c r="D57" i="6"/>
  <c r="E57" i="6"/>
  <c r="F57" i="6"/>
  <c r="B16" i="5"/>
  <c r="C16" i="5"/>
  <c r="C66" i="5" s="1"/>
  <c r="D16" i="5"/>
  <c r="D66" i="5" s="1"/>
  <c r="D72" i="5" s="1"/>
  <c r="E16" i="5"/>
  <c r="E66" i="5" s="1"/>
  <c r="F16" i="5"/>
  <c r="F66" i="5" s="1"/>
  <c r="B27" i="5"/>
  <c r="C27" i="5"/>
  <c r="D27" i="5"/>
  <c r="E27" i="5"/>
  <c r="F27" i="5"/>
  <c r="B53" i="5"/>
  <c r="C53" i="5"/>
  <c r="D53" i="5"/>
  <c r="E53" i="5"/>
  <c r="F53" i="5"/>
  <c r="B28" i="7"/>
  <c r="C28" i="7"/>
  <c r="D28" i="7"/>
  <c r="E28" i="7"/>
  <c r="F28" i="7"/>
  <c r="C6" i="1"/>
  <c r="C5" i="2" s="1"/>
  <c r="C46" i="2" s="1"/>
  <c r="C9" i="1"/>
  <c r="C16" i="2" s="1"/>
  <c r="B16" i="1"/>
  <c r="C8" i="2"/>
  <c r="B25" i="1"/>
  <c r="B5" i="2"/>
  <c r="B46" i="2" s="1"/>
  <c r="C9" i="2"/>
  <c r="D9" i="2" s="1"/>
  <c r="E9" i="2" s="1"/>
  <c r="F9" i="2" s="1"/>
  <c r="G9" i="2" s="1"/>
  <c r="H9" i="2" s="1"/>
  <c r="I9" i="2" s="1"/>
  <c r="J9" i="2" s="1"/>
  <c r="K9" i="2" s="1"/>
  <c r="L9" i="2" s="1"/>
  <c r="C28" i="2"/>
  <c r="D28" i="2" s="1"/>
  <c r="E28" i="2" s="1"/>
  <c r="F28" i="2" s="1"/>
  <c r="G28" i="2" s="1"/>
  <c r="H28" i="2" s="1"/>
  <c r="I28" i="2" s="1"/>
  <c r="J28" i="2" s="1"/>
  <c r="K28" i="2" s="1"/>
  <c r="L28" i="2" s="1"/>
  <c r="L53" i="2" s="1"/>
  <c r="D5" i="11"/>
  <c r="E5" i="11" s="1"/>
  <c r="F5" i="11" s="1"/>
  <c r="G5" i="11" s="1"/>
  <c r="H5" i="11" s="1"/>
  <c r="I5" i="11" s="1"/>
  <c r="J5" i="11" s="1"/>
  <c r="K5" i="11" s="1"/>
  <c r="L5" i="11" s="1"/>
  <c r="C8" i="11"/>
  <c r="D8" i="11"/>
  <c r="E8" i="11"/>
  <c r="F8" i="11"/>
  <c r="G8" i="11"/>
  <c r="H8" i="11"/>
  <c r="I8" i="11"/>
  <c r="J8" i="11"/>
  <c r="K8" i="11"/>
  <c r="L8" i="11"/>
  <c r="C12" i="11"/>
  <c r="C16" i="11"/>
  <c r="D16" i="11"/>
  <c r="E16" i="11"/>
  <c r="F16" i="11"/>
  <c r="G16" i="11"/>
  <c r="H16" i="11"/>
  <c r="I16" i="11"/>
  <c r="J16" i="11"/>
  <c r="K16" i="11"/>
  <c r="L16" i="11"/>
  <c r="F40" i="11"/>
  <c r="F41" i="11"/>
  <c r="F42" i="11"/>
  <c r="B5" i="10"/>
  <c r="E8" i="9"/>
  <c r="A9" i="9"/>
  <c r="D9" i="9"/>
  <c r="E9" i="9" s="1"/>
  <c r="A10" i="9"/>
  <c r="A11" i="9" s="1"/>
  <c r="A12" i="9" s="1"/>
  <c r="A13" i="9" s="1"/>
  <c r="A14" i="9" s="1"/>
  <c r="A15" i="9" s="1"/>
  <c r="A16" i="9" s="1"/>
  <c r="A17" i="9" s="1"/>
  <c r="D10" i="9"/>
  <c r="E10" i="9" s="1"/>
  <c r="D11" i="9"/>
  <c r="E11" i="9"/>
  <c r="D12" i="9"/>
  <c r="E12" i="9"/>
  <c r="D13" i="9"/>
  <c r="E13" i="9" s="1"/>
  <c r="D14" i="9"/>
  <c r="E14" i="9" s="1"/>
  <c r="D15" i="9"/>
  <c r="E15" i="9"/>
  <c r="D16" i="9"/>
  <c r="E16" i="9"/>
  <c r="D17" i="9"/>
  <c r="E17" i="9" s="1"/>
  <c r="C23" i="8"/>
  <c r="C24" i="8"/>
  <c r="C11" i="8"/>
  <c r="C13" i="8" s="1"/>
  <c r="E33" i="8"/>
  <c r="F33" i="8" s="1"/>
  <c r="C40" i="12" s="1"/>
  <c r="A34" i="8"/>
  <c r="A35" i="8" s="1"/>
  <c r="A36" i="8" s="1"/>
  <c r="A37" i="8" s="1"/>
  <c r="A38" i="8" s="1"/>
  <c r="A39" i="8" s="1"/>
  <c r="A40" i="8" s="1"/>
  <c r="A41" i="8" s="1"/>
  <c r="A42" i="8" s="1"/>
  <c r="D34" i="8"/>
  <c r="E34" i="8" s="1"/>
  <c r="F34" i="8" s="1"/>
  <c r="D35" i="8"/>
  <c r="E35" i="8" s="1"/>
  <c r="D36" i="8"/>
  <c r="E36" i="8"/>
  <c r="F36" i="8" s="1"/>
  <c r="C43" i="12" s="1"/>
  <c r="D37" i="8"/>
  <c r="E37" i="8" s="1"/>
  <c r="D38" i="8"/>
  <c r="E38" i="8" s="1"/>
  <c r="F38" i="8" s="1"/>
  <c r="C45" i="12" s="1"/>
  <c r="D39" i="8"/>
  <c r="E39" i="8" s="1"/>
  <c r="D40" i="8"/>
  <c r="E40" i="8"/>
  <c r="F40" i="8" s="1"/>
  <c r="C47" i="12" s="1"/>
  <c r="D41" i="8"/>
  <c r="E41" i="8" s="1"/>
  <c r="D42" i="8"/>
  <c r="C23" i="3"/>
  <c r="C24" i="3"/>
  <c r="C9" i="3"/>
  <c r="C13" i="3"/>
  <c r="B34" i="3" s="1"/>
  <c r="D34" i="3" s="1"/>
  <c r="A35" i="3"/>
  <c r="A36" i="3" s="1"/>
  <c r="A37" i="3" s="1"/>
  <c r="A38" i="3" s="1"/>
  <c r="A39" i="3" s="1"/>
  <c r="A40" i="3" s="1"/>
  <c r="A41" i="3" s="1"/>
  <c r="A42" i="3" s="1"/>
  <c r="A43" i="3" s="1"/>
  <c r="D35" i="3"/>
  <c r="D36" i="3"/>
  <c r="E36" i="3" s="1"/>
  <c r="D37" i="3"/>
  <c r="D38" i="3"/>
  <c r="D39" i="3"/>
  <c r="D40" i="3"/>
  <c r="E40" i="3" s="1"/>
  <c r="D41" i="3"/>
  <c r="D42" i="3"/>
  <c r="E42" i="3" s="1"/>
  <c r="D21" i="13"/>
  <c r="B34" i="12"/>
  <c r="D34" i="12" s="1"/>
  <c r="B41" i="12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C41" i="1" l="1"/>
  <c r="B60" i="2"/>
  <c r="B22" i="2"/>
  <c r="B71" i="2"/>
  <c r="D40" i="7"/>
  <c r="D73" i="7"/>
  <c r="F88" i="5"/>
  <c r="B72" i="5"/>
  <c r="F72" i="5"/>
  <c r="E86" i="5"/>
  <c r="C56" i="5"/>
  <c r="E67" i="6"/>
  <c r="B88" i="5"/>
  <c r="E72" i="5"/>
  <c r="D56" i="5"/>
  <c r="C67" i="6"/>
  <c r="D79" i="5"/>
  <c r="D67" i="6"/>
  <c r="D88" i="5"/>
  <c r="F67" i="6"/>
  <c r="E88" i="5"/>
  <c r="F40" i="7"/>
  <c r="F73" i="7"/>
  <c r="B73" i="7"/>
  <c r="B40" i="7"/>
  <c r="E40" i="7"/>
  <c r="E73" i="7"/>
  <c r="F86" i="5"/>
  <c r="B79" i="5"/>
  <c r="C88" i="5"/>
  <c r="C90" i="5" s="1"/>
  <c r="C72" i="5"/>
  <c r="B86" i="5"/>
  <c r="B90" i="5" s="1"/>
  <c r="F58" i="7"/>
  <c r="E79" i="5"/>
  <c r="F79" i="5"/>
  <c r="E56" i="5"/>
  <c r="C79" i="5"/>
  <c r="D86" i="5"/>
  <c r="D90" i="5" s="1"/>
  <c r="C18" i="7"/>
  <c r="C75" i="7" s="1"/>
  <c r="B34" i="7"/>
  <c r="C34" i="7"/>
  <c r="D34" i="7"/>
  <c r="F34" i="7"/>
  <c r="E34" i="7"/>
  <c r="E36" i="14"/>
  <c r="F40" i="3"/>
  <c r="F42" i="3"/>
  <c r="E38" i="3"/>
  <c r="F38" i="3"/>
  <c r="F36" i="3"/>
  <c r="G33" i="8"/>
  <c r="F20" i="7"/>
  <c r="C35" i="2"/>
  <c r="C5" i="14"/>
  <c r="C31" i="14" s="1"/>
  <c r="D40" i="14"/>
  <c r="C46" i="14"/>
  <c r="C40" i="14"/>
  <c r="B62" i="2"/>
  <c r="B12" i="14"/>
  <c r="C53" i="2"/>
  <c r="D26" i="11"/>
  <c r="G26" i="11" s="1"/>
  <c r="C38" i="11" s="1"/>
  <c r="D24" i="11"/>
  <c r="G24" i="11" s="1"/>
  <c r="C36" i="11" s="1"/>
  <c r="D25" i="11"/>
  <c r="G25" i="11" s="1"/>
  <c r="C37" i="11" s="1"/>
  <c r="F48" i="7" s="1"/>
  <c r="D10" i="11"/>
  <c r="E10" i="11"/>
  <c r="C10" i="11"/>
  <c r="L10" i="11"/>
  <c r="K10" i="11"/>
  <c r="H10" i="11"/>
  <c r="C14" i="11"/>
  <c r="J10" i="11"/>
  <c r="I10" i="11"/>
  <c r="G10" i="11"/>
  <c r="F10" i="11"/>
  <c r="B24" i="2"/>
  <c r="B42" i="2"/>
  <c r="K53" i="2"/>
  <c r="G53" i="2"/>
  <c r="H53" i="2"/>
  <c r="B65" i="2"/>
  <c r="B69" i="2" s="1"/>
  <c r="D53" i="2"/>
  <c r="E53" i="2"/>
  <c r="I53" i="2"/>
  <c r="F53" i="2"/>
  <c r="J53" i="2"/>
  <c r="B49" i="2"/>
  <c r="B55" i="2" s="1"/>
  <c r="C12" i="2"/>
  <c r="C49" i="2" s="1"/>
  <c r="C14" i="2"/>
  <c r="C15" i="2"/>
  <c r="C30" i="1"/>
  <c r="C23" i="1"/>
  <c r="C25" i="1" s="1"/>
  <c r="B28" i="1"/>
  <c r="M11" i="4"/>
  <c r="K14" i="4"/>
  <c r="I11" i="4"/>
  <c r="G11" i="4"/>
  <c r="E14" i="4"/>
  <c r="B31" i="6"/>
  <c r="B14" i="7" s="1"/>
  <c r="F65" i="6"/>
  <c r="F70" i="6" s="1"/>
  <c r="F75" i="6" s="1"/>
  <c r="F79" i="6" s="1"/>
  <c r="E65" i="6"/>
  <c r="E70" i="6" s="1"/>
  <c r="E75" i="6" s="1"/>
  <c r="E79" i="6" s="1"/>
  <c r="D31" i="6"/>
  <c r="D20" i="7" s="1"/>
  <c r="C31" i="6"/>
  <c r="D65" i="6"/>
  <c r="D70" i="6" s="1"/>
  <c r="D75" i="6" s="1"/>
  <c r="D79" i="6" s="1"/>
  <c r="C65" i="6"/>
  <c r="C70" i="6" s="1"/>
  <c r="C75" i="6" s="1"/>
  <c r="C79" i="6" s="1"/>
  <c r="E31" i="6"/>
  <c r="E20" i="7" s="1"/>
  <c r="C29" i="5"/>
  <c r="B29" i="5"/>
  <c r="E29" i="5"/>
  <c r="F29" i="5"/>
  <c r="E39" i="3"/>
  <c r="F39" i="3"/>
  <c r="E35" i="3"/>
  <c r="F35" i="3"/>
  <c r="F39" i="8"/>
  <c r="C46" i="12" s="1"/>
  <c r="G39" i="8"/>
  <c r="F41" i="8"/>
  <c r="C48" i="12" s="1"/>
  <c r="G41" i="8"/>
  <c r="D20" i="9"/>
  <c r="D18" i="13" s="1"/>
  <c r="E34" i="3"/>
  <c r="F34" i="3"/>
  <c r="F37" i="8"/>
  <c r="C44" i="12" s="1"/>
  <c r="G37" i="8"/>
  <c r="D18" i="1"/>
  <c r="F14" i="7"/>
  <c r="F12" i="7"/>
  <c r="E37" i="3"/>
  <c r="F37" i="3"/>
  <c r="F35" i="8"/>
  <c r="C42" i="12" s="1"/>
  <c r="G35" i="8"/>
  <c r="E41" i="3"/>
  <c r="F41" i="3"/>
  <c r="C41" i="12"/>
  <c r="D53" i="12"/>
  <c r="G40" i="8"/>
  <c r="G38" i="8"/>
  <c r="G36" i="8"/>
  <c r="G34" i="8"/>
  <c r="D29" i="5"/>
  <c r="C16" i="1"/>
  <c r="D9" i="1"/>
  <c r="D6" i="1"/>
  <c r="D5" i="14" s="1"/>
  <c r="D31" i="14" s="1"/>
  <c r="D12" i="11"/>
  <c r="D14" i="11" s="1"/>
  <c r="C37" i="2"/>
  <c r="C36" i="2"/>
  <c r="D35" i="2" l="1"/>
  <c r="D41" i="1"/>
  <c r="E90" i="5"/>
  <c r="F90" i="5"/>
  <c r="C40" i="7"/>
  <c r="C73" i="7"/>
  <c r="F36" i="14"/>
  <c r="E44" i="14"/>
  <c r="B36" i="6"/>
  <c r="B43" i="6" s="1"/>
  <c r="B44" i="7" s="1"/>
  <c r="B20" i="7"/>
  <c r="B12" i="7"/>
  <c r="C14" i="7"/>
  <c r="C20" i="7"/>
  <c r="D46" i="14"/>
  <c r="C28" i="1"/>
  <c r="C46" i="1" s="1"/>
  <c r="C34" i="14" s="1"/>
  <c r="C42" i="14" s="1"/>
  <c r="C40" i="2"/>
  <c r="C51" i="2"/>
  <c r="C67" i="2" s="1"/>
  <c r="D16" i="2"/>
  <c r="D15" i="2"/>
  <c r="D14" i="2"/>
  <c r="B33" i="1"/>
  <c r="B38" i="1" s="1"/>
  <c r="B44" i="1" s="1"/>
  <c r="B51" i="1" s="1"/>
  <c r="D8" i="2"/>
  <c r="D12" i="2" s="1"/>
  <c r="D49" i="2" s="1"/>
  <c r="D30" i="1"/>
  <c r="C35" i="1"/>
  <c r="C18" i="11" s="1"/>
  <c r="C20" i="11" s="1"/>
  <c r="E14" i="7"/>
  <c r="E36" i="6"/>
  <c r="E43" i="6" s="1"/>
  <c r="E44" i="7" s="1"/>
  <c r="C12" i="7"/>
  <c r="C36" i="6"/>
  <c r="D14" i="7"/>
  <c r="D36" i="6"/>
  <c r="D43" i="6" s="1"/>
  <c r="D44" i="7" s="1"/>
  <c r="E12" i="7"/>
  <c r="D12" i="7"/>
  <c r="D5" i="2"/>
  <c r="D46" i="2" s="1"/>
  <c r="E6" i="1"/>
  <c r="E5" i="14" s="1"/>
  <c r="E31" i="14" s="1"/>
  <c r="C53" i="12"/>
  <c r="E12" i="11"/>
  <c r="E14" i="11" s="1"/>
  <c r="D36" i="2"/>
  <c r="D37" i="2"/>
  <c r="D16" i="1"/>
  <c r="E9" i="1"/>
  <c r="F48" i="6"/>
  <c r="F71" i="7" s="1"/>
  <c r="F69" i="7" s="1"/>
  <c r="F16" i="7"/>
  <c r="F42" i="7" s="1"/>
  <c r="F46" i="7" s="1"/>
  <c r="F50" i="7" s="1"/>
  <c r="F52" i="7" s="1"/>
  <c r="F62" i="7" s="1"/>
  <c r="B16" i="7"/>
  <c r="B42" i="7" s="1"/>
  <c r="B48" i="6"/>
  <c r="B71" i="7" s="1"/>
  <c r="B69" i="7" s="1"/>
  <c r="B46" i="7" l="1"/>
  <c r="C26" i="2"/>
  <c r="E35" i="2"/>
  <c r="E41" i="1"/>
  <c r="G36" i="14"/>
  <c r="H36" i="14" s="1"/>
  <c r="I36" i="14" s="1"/>
  <c r="J36" i="14" s="1"/>
  <c r="K36" i="14" s="1"/>
  <c r="E48" i="6"/>
  <c r="E71" i="7" s="1"/>
  <c r="E69" i="7" s="1"/>
  <c r="C21" i="14"/>
  <c r="C27" i="14" s="1"/>
  <c r="C52" i="14"/>
  <c r="C10" i="14" s="1"/>
  <c r="C12" i="14" s="1"/>
  <c r="C33" i="1"/>
  <c r="C38" i="1" s="1"/>
  <c r="C44" i="1" s="1"/>
  <c r="F60" i="7"/>
  <c r="F40" i="14"/>
  <c r="F44" i="14" s="1"/>
  <c r="E18" i="1"/>
  <c r="E30" i="1" s="1"/>
  <c r="C55" i="2"/>
  <c r="D51" i="2"/>
  <c r="D67" i="2" s="1"/>
  <c r="C33" i="2"/>
  <c r="C58" i="2"/>
  <c r="E14" i="2"/>
  <c r="E16" i="2"/>
  <c r="E15" i="2"/>
  <c r="D40" i="2"/>
  <c r="D16" i="7"/>
  <c r="D42" i="7" s="1"/>
  <c r="D46" i="7" s="1"/>
  <c r="C16" i="7"/>
  <c r="C42" i="7" s="1"/>
  <c r="C43" i="6"/>
  <c r="E16" i="7"/>
  <c r="E42" i="7" s="1"/>
  <c r="E46" i="7" s="1"/>
  <c r="D48" i="6"/>
  <c r="D71" i="7" s="1"/>
  <c r="D69" i="7" s="1"/>
  <c r="D35" i="1"/>
  <c r="D18" i="11" s="1"/>
  <c r="D20" i="11" s="1"/>
  <c r="E36" i="2"/>
  <c r="E37" i="2"/>
  <c r="F9" i="1"/>
  <c r="E16" i="1"/>
  <c r="E5" i="2"/>
  <c r="E46" i="2" s="1"/>
  <c r="F6" i="1"/>
  <c r="F5" i="14" s="1"/>
  <c r="F31" i="14" s="1"/>
  <c r="F35" i="2" l="1"/>
  <c r="F41" i="1"/>
  <c r="F12" i="11"/>
  <c r="F14" i="11" s="1"/>
  <c r="C48" i="6"/>
  <c r="C71" i="7" s="1"/>
  <c r="C69" i="7" s="1"/>
  <c r="C44" i="7"/>
  <c r="C46" i="7"/>
  <c r="D55" i="2"/>
  <c r="E8" i="2"/>
  <c r="E12" i="2" s="1"/>
  <c r="E49" i="2" s="1"/>
  <c r="F46" i="14"/>
  <c r="G40" i="14"/>
  <c r="G44" i="14" s="1"/>
  <c r="E51" i="2"/>
  <c r="E67" i="2" s="1"/>
  <c r="C42" i="2"/>
  <c r="C65" i="2"/>
  <c r="C69" i="2" s="1"/>
  <c r="C51" i="1"/>
  <c r="C19" i="2" s="1"/>
  <c r="D20" i="1" s="1"/>
  <c r="F16" i="2"/>
  <c r="F14" i="2"/>
  <c r="F15" i="2"/>
  <c r="E40" i="2"/>
  <c r="E35" i="1"/>
  <c r="E18" i="11" s="1"/>
  <c r="E20" i="11" s="1"/>
  <c r="F36" i="2"/>
  <c r="F37" i="2"/>
  <c r="G9" i="1"/>
  <c r="F16" i="1"/>
  <c r="F5" i="2"/>
  <c r="F46" i="2" s="1"/>
  <c r="G6" i="1"/>
  <c r="G5" i="14" s="1"/>
  <c r="G31" i="14" s="1"/>
  <c r="G35" i="2" l="1"/>
  <c r="G41" i="1"/>
  <c r="F18" i="1"/>
  <c r="F30" i="1" s="1"/>
  <c r="G46" i="14"/>
  <c r="H40" i="14"/>
  <c r="H44" i="14" s="1"/>
  <c r="C60" i="2"/>
  <c r="C62" i="2" s="1"/>
  <c r="C71" i="2"/>
  <c r="F51" i="2"/>
  <c r="F67" i="2" s="1"/>
  <c r="E55" i="2"/>
  <c r="C22" i="2"/>
  <c r="C24" i="2" s="1"/>
  <c r="G16" i="2"/>
  <c r="G15" i="2"/>
  <c r="G14" i="2"/>
  <c r="F40" i="2"/>
  <c r="F35" i="1"/>
  <c r="F18" i="11" s="1"/>
  <c r="F20" i="11" s="1"/>
  <c r="G12" i="11"/>
  <c r="G14" i="11" s="1"/>
  <c r="G36" i="2"/>
  <c r="G37" i="2"/>
  <c r="H9" i="1"/>
  <c r="G16" i="1"/>
  <c r="G5" i="2"/>
  <c r="G46" i="2" s="1"/>
  <c r="H6" i="1"/>
  <c r="H5" i="14" s="1"/>
  <c r="H31" i="14" s="1"/>
  <c r="H35" i="2" l="1"/>
  <c r="H41" i="1"/>
  <c r="F8" i="2"/>
  <c r="F12" i="2" s="1"/>
  <c r="F49" i="2" s="1"/>
  <c r="H46" i="14"/>
  <c r="I40" i="14"/>
  <c r="I44" i="14" s="1"/>
  <c r="G51" i="2"/>
  <c r="G67" i="2" s="1"/>
  <c r="F55" i="2"/>
  <c r="G40" i="2"/>
  <c r="H16" i="2"/>
  <c r="H15" i="2"/>
  <c r="H14" i="2"/>
  <c r="G35" i="1"/>
  <c r="G18" i="11" s="1"/>
  <c r="G20" i="11" s="1"/>
  <c r="I6" i="1"/>
  <c r="I5" i="14" s="1"/>
  <c r="I31" i="14" s="1"/>
  <c r="H5" i="2"/>
  <c r="H46" i="2" s="1"/>
  <c r="G18" i="1"/>
  <c r="G30" i="1" s="1"/>
  <c r="I9" i="1"/>
  <c r="H16" i="1"/>
  <c r="H36" i="2"/>
  <c r="H37" i="2"/>
  <c r="I35" i="2" l="1"/>
  <c r="I41" i="1"/>
  <c r="H51" i="2"/>
  <c r="H67" i="2" s="1"/>
  <c r="I46" i="14"/>
  <c r="J40" i="14"/>
  <c r="J44" i="14" s="1"/>
  <c r="I16" i="2"/>
  <c r="I15" i="2"/>
  <c r="I14" i="2"/>
  <c r="H40" i="2"/>
  <c r="J9" i="1"/>
  <c r="I16" i="1"/>
  <c r="I36" i="2"/>
  <c r="I37" i="2"/>
  <c r="H12" i="11"/>
  <c r="H14" i="11" s="1"/>
  <c r="G8" i="2"/>
  <c r="G12" i="2" s="1"/>
  <c r="G49" i="2" s="1"/>
  <c r="G55" i="2" s="1"/>
  <c r="J6" i="1"/>
  <c r="J5" i="14" s="1"/>
  <c r="J31" i="14" s="1"/>
  <c r="I5" i="2"/>
  <c r="I46" i="2" s="1"/>
  <c r="H35" i="1"/>
  <c r="H18" i="11" s="1"/>
  <c r="J35" i="2" l="1"/>
  <c r="J41" i="1"/>
  <c r="J46" i="14"/>
  <c r="K40" i="14"/>
  <c r="K44" i="14" s="1"/>
  <c r="I51" i="2"/>
  <c r="I67" i="2" s="1"/>
  <c r="I40" i="2"/>
  <c r="J16" i="2"/>
  <c r="J15" i="2"/>
  <c r="J14" i="2"/>
  <c r="I35" i="1"/>
  <c r="I18" i="11" s="1"/>
  <c r="K6" i="1"/>
  <c r="K5" i="14" s="1"/>
  <c r="K31" i="14" s="1"/>
  <c r="J5" i="2"/>
  <c r="J46" i="2" s="1"/>
  <c r="H20" i="11"/>
  <c r="H18" i="1"/>
  <c r="K9" i="1"/>
  <c r="J16" i="1"/>
  <c r="J36" i="2"/>
  <c r="J37" i="2"/>
  <c r="K35" i="2" l="1"/>
  <c r="K41" i="1"/>
  <c r="L46" i="14"/>
  <c r="L40" i="14"/>
  <c r="L44" i="14" s="1"/>
  <c r="K46" i="14"/>
  <c r="J51" i="2"/>
  <c r="J67" i="2" s="1"/>
  <c r="J40" i="2"/>
  <c r="K16" i="2"/>
  <c r="K15" i="2"/>
  <c r="K14" i="2"/>
  <c r="H8" i="2"/>
  <c r="H12" i="2" s="1"/>
  <c r="H49" i="2" s="1"/>
  <c r="H55" i="2" s="1"/>
  <c r="H30" i="1"/>
  <c r="J35" i="1"/>
  <c r="J18" i="11" s="1"/>
  <c r="L9" i="1"/>
  <c r="L16" i="1" s="1"/>
  <c r="K16" i="1"/>
  <c r="K36" i="2"/>
  <c r="K37" i="2"/>
  <c r="I12" i="11"/>
  <c r="I14" i="11" s="1"/>
  <c r="I20" i="11" s="1"/>
  <c r="L6" i="1"/>
  <c r="K5" i="2"/>
  <c r="K46" i="2" s="1"/>
  <c r="L35" i="2" l="1"/>
  <c r="L41" i="1"/>
  <c r="L5" i="2"/>
  <c r="L46" i="2" s="1"/>
  <c r="L5" i="14"/>
  <c r="L31" i="14" s="1"/>
  <c r="I18" i="1"/>
  <c r="I30" i="1" s="1"/>
  <c r="K51" i="2"/>
  <c r="K67" i="2" s="1"/>
  <c r="L16" i="2"/>
  <c r="L14" i="2"/>
  <c r="L15" i="2"/>
  <c r="K40" i="2"/>
  <c r="K35" i="1"/>
  <c r="K18" i="11" s="1"/>
  <c r="L36" i="2"/>
  <c r="L37" i="2"/>
  <c r="B8" i="12"/>
  <c r="J12" i="11" l="1"/>
  <c r="J14" i="11" s="1"/>
  <c r="J20" i="11" s="1"/>
  <c r="I8" i="2"/>
  <c r="I12" i="2" s="1"/>
  <c r="I49" i="2" s="1"/>
  <c r="I55" i="2" s="1"/>
  <c r="L51" i="2"/>
  <c r="L67" i="2" s="1"/>
  <c r="L40" i="2"/>
  <c r="L35" i="1"/>
  <c r="L18" i="11" s="1"/>
  <c r="J18" i="1" l="1"/>
  <c r="J30" i="1" s="1"/>
  <c r="K12" i="11" l="1"/>
  <c r="K14" i="11" s="1"/>
  <c r="K20" i="11" s="1"/>
  <c r="J8" i="2"/>
  <c r="J12" i="2" s="1"/>
  <c r="J49" i="2" s="1"/>
  <c r="J55" i="2" s="1"/>
  <c r="K18" i="1"/>
  <c r="K8" i="2" s="1"/>
  <c r="L12" i="11" l="1"/>
  <c r="L14" i="11" s="1"/>
  <c r="L20" i="11" s="1"/>
  <c r="I37" i="11" s="1"/>
  <c r="K12" i="2"/>
  <c r="K49" i="2" s="1"/>
  <c r="K55" i="2" s="1"/>
  <c r="L18" i="1"/>
  <c r="L30" i="1" s="1"/>
  <c r="K30" i="1"/>
  <c r="I36" i="11" l="1"/>
  <c r="C40" i="11" s="1"/>
  <c r="I40" i="11" s="1"/>
  <c r="I38" i="11"/>
  <c r="C42" i="11" s="1"/>
  <c r="I42" i="11" s="1"/>
  <c r="L8" i="2"/>
  <c r="L12" i="2" s="1"/>
  <c r="L49" i="2" s="1"/>
  <c r="L55" i="2" s="1"/>
  <c r="B10" i="12"/>
  <c r="C41" i="11"/>
  <c r="I41" i="11" s="1"/>
  <c r="D23" i="1" l="1"/>
  <c r="D25" i="1" s="1"/>
  <c r="D28" i="1" l="1"/>
  <c r="D46" i="1" l="1"/>
  <c r="D33" i="1"/>
  <c r="D38" i="1" s="1"/>
  <c r="D44" i="1" s="1"/>
  <c r="D26" i="2" l="1"/>
  <c r="D58" i="2" s="1"/>
  <c r="D34" i="14"/>
  <c r="D47" i="1"/>
  <c r="D42" i="14" l="1"/>
  <c r="D14" i="14" s="1"/>
  <c r="D33" i="2"/>
  <c r="D65" i="2" s="1"/>
  <c r="D69" i="2" s="1"/>
  <c r="D18" i="2"/>
  <c r="D50" i="14"/>
  <c r="D51" i="1"/>
  <c r="D19" i="2" s="1"/>
  <c r="E20" i="1" s="1"/>
  <c r="D42" i="2"/>
  <c r="D25" i="14" l="1"/>
  <c r="D52" i="14"/>
  <c r="D10" i="14" s="1"/>
  <c r="D21" i="14"/>
  <c r="E23" i="1"/>
  <c r="D60" i="2"/>
  <c r="D62" i="2" s="1"/>
  <c r="D71" i="2"/>
  <c r="D22" i="2"/>
  <c r="D24" i="2" s="1"/>
  <c r="D27" i="14" l="1"/>
  <c r="D12" i="14"/>
  <c r="E25" i="1"/>
  <c r="E28" i="1" s="1"/>
  <c r="E46" i="1" l="1"/>
  <c r="E33" i="1"/>
  <c r="E38" i="1" s="1"/>
  <c r="E44" i="1" s="1"/>
  <c r="E26" i="2" l="1"/>
  <c r="E33" i="2" s="1"/>
  <c r="E34" i="14"/>
  <c r="E47" i="1"/>
  <c r="E42" i="14" l="1"/>
  <c r="E14" i="14" s="1"/>
  <c r="E58" i="2"/>
  <c r="E18" i="2"/>
  <c r="E50" i="14"/>
  <c r="E51" i="1"/>
  <c r="E19" i="2" s="1"/>
  <c r="F20" i="1" s="1"/>
  <c r="E65" i="2"/>
  <c r="E69" i="2" s="1"/>
  <c r="E42" i="2"/>
  <c r="E25" i="14" l="1"/>
  <c r="E52" i="14"/>
  <c r="E10" i="14" s="1"/>
  <c r="E21" i="14"/>
  <c r="E27" i="14" s="1"/>
  <c r="F23" i="1"/>
  <c r="E60" i="2"/>
  <c r="E62" i="2" s="1"/>
  <c r="E22" i="2"/>
  <c r="E24" i="2" s="1"/>
  <c r="E71" i="2"/>
  <c r="E12" i="14" l="1"/>
  <c r="F25" i="1"/>
  <c r="F28" i="1" s="1"/>
  <c r="F46" i="1" l="1"/>
  <c r="F33" i="1"/>
  <c r="F38" i="1" s="1"/>
  <c r="F44" i="1" s="1"/>
  <c r="F26" i="2" l="1"/>
  <c r="F33" i="2" s="1"/>
  <c r="F34" i="14"/>
  <c r="F47" i="1"/>
  <c r="F42" i="14" l="1"/>
  <c r="F14" i="14" s="1"/>
  <c r="F58" i="2"/>
  <c r="F18" i="2"/>
  <c r="F50" i="14"/>
  <c r="F51" i="1"/>
  <c r="F19" i="2" s="1"/>
  <c r="G20" i="1" s="1"/>
  <c r="G23" i="1" s="1"/>
  <c r="F65" i="2"/>
  <c r="F69" i="2" s="1"/>
  <c r="F42" i="2"/>
  <c r="F25" i="14" l="1"/>
  <c r="F52" i="14"/>
  <c r="F10" i="14" s="1"/>
  <c r="F12" i="14" s="1"/>
  <c r="F21" i="14"/>
  <c r="F60" i="2"/>
  <c r="F62" i="2" s="1"/>
  <c r="F22" i="2"/>
  <c r="F24" i="2" s="1"/>
  <c r="F71" i="2"/>
  <c r="G25" i="1"/>
  <c r="G28" i="1" s="1"/>
  <c r="F27" i="14" l="1"/>
  <c r="G33" i="1"/>
  <c r="G38" i="1" s="1"/>
  <c r="G44" i="1" s="1"/>
  <c r="G46" i="1"/>
  <c r="G26" i="2" l="1"/>
  <c r="G58" i="2" s="1"/>
  <c r="G34" i="14"/>
  <c r="G47" i="1"/>
  <c r="G42" i="14" l="1"/>
  <c r="G14" i="14" s="1"/>
  <c r="G33" i="2"/>
  <c r="G42" i="2" s="1"/>
  <c r="G18" i="2"/>
  <c r="G50" i="14"/>
  <c r="G51" i="1"/>
  <c r="G19" i="2" s="1"/>
  <c r="G25" i="14" l="1"/>
  <c r="G65" i="2"/>
  <c r="G69" i="2" s="1"/>
  <c r="G52" i="14"/>
  <c r="G10" i="14" s="1"/>
  <c r="G71" i="2"/>
  <c r="G21" i="14"/>
  <c r="G27" i="14" s="1"/>
  <c r="H20" i="1"/>
  <c r="H23" i="1" s="1"/>
  <c r="H25" i="1" s="1"/>
  <c r="H28" i="1" s="1"/>
  <c r="G22" i="2"/>
  <c r="G24" i="2" s="1"/>
  <c r="G60" i="2"/>
  <c r="G62" i="2" s="1"/>
  <c r="G12" i="14" l="1"/>
  <c r="H46" i="1"/>
  <c r="H33" i="1"/>
  <c r="H38" i="1" s="1"/>
  <c r="H44" i="1" s="1"/>
  <c r="H26" i="2" l="1"/>
  <c r="H58" i="2" s="1"/>
  <c r="H34" i="14"/>
  <c r="H47" i="1"/>
  <c r="H42" i="14" l="1"/>
  <c r="H14" i="14" s="1"/>
  <c r="H33" i="2"/>
  <c r="H18" i="2"/>
  <c r="H50" i="14"/>
  <c r="H51" i="1"/>
  <c r="H19" i="2" s="1"/>
  <c r="I20" i="1" s="1"/>
  <c r="H42" i="2"/>
  <c r="H65" i="2"/>
  <c r="H69" i="2" s="1"/>
  <c r="H25" i="14" l="1"/>
  <c r="H52" i="14"/>
  <c r="H10" i="14" s="1"/>
  <c r="H12" i="14" s="1"/>
  <c r="H21" i="14"/>
  <c r="I23" i="1"/>
  <c r="H60" i="2"/>
  <c r="H62" i="2" s="1"/>
  <c r="H71" i="2"/>
  <c r="H22" i="2"/>
  <c r="H24" i="2" s="1"/>
  <c r="H27" i="14" l="1"/>
  <c r="I25" i="1"/>
  <c r="I28" i="1" s="1"/>
  <c r="I33" i="1" l="1"/>
  <c r="I38" i="1" s="1"/>
  <c r="I44" i="1" s="1"/>
  <c r="I46" i="1"/>
  <c r="I34" i="14" s="1"/>
  <c r="I42" i="14" s="1"/>
  <c r="I14" i="14" s="1"/>
  <c r="I26" i="2" l="1"/>
  <c r="I58" i="2" s="1"/>
  <c r="I47" i="1"/>
  <c r="I33" i="2" l="1"/>
  <c r="I18" i="2"/>
  <c r="I50" i="14"/>
  <c r="I52" i="14" s="1"/>
  <c r="I21" i="14"/>
  <c r="I51" i="1"/>
  <c r="I19" i="2" s="1"/>
  <c r="I65" i="2"/>
  <c r="I69" i="2" s="1"/>
  <c r="I42" i="2"/>
  <c r="I60" i="2" l="1"/>
  <c r="I62" i="2" s="1"/>
  <c r="I22" i="2"/>
  <c r="I24" i="2" s="1"/>
  <c r="I71" i="2"/>
  <c r="I25" i="14"/>
  <c r="I27" i="14" s="1"/>
  <c r="I10" i="14"/>
  <c r="J20" i="1"/>
  <c r="J23" i="1" s="1"/>
  <c r="J25" i="1" s="1"/>
  <c r="J28" i="1" s="1"/>
  <c r="I12" i="14" l="1"/>
  <c r="J33" i="1"/>
  <c r="J38" i="1" s="1"/>
  <c r="J44" i="1" s="1"/>
  <c r="J46" i="1"/>
  <c r="J26" i="2" l="1"/>
  <c r="J33" i="2" s="1"/>
  <c r="J34" i="14"/>
  <c r="J42" i="14" s="1"/>
  <c r="J14" i="14" s="1"/>
  <c r="J47" i="1"/>
  <c r="J58" i="2" l="1"/>
  <c r="J18" i="2"/>
  <c r="J50" i="14"/>
  <c r="J25" i="14" s="1"/>
  <c r="J51" i="1"/>
  <c r="J19" i="2" s="1"/>
  <c r="K20" i="1" s="1"/>
  <c r="J65" i="2"/>
  <c r="J69" i="2" s="1"/>
  <c r="J42" i="2"/>
  <c r="J52" i="14" l="1"/>
  <c r="J10" i="14" s="1"/>
  <c r="J12" i="14" s="1"/>
  <c r="J21" i="14"/>
  <c r="J27" i="14" s="1"/>
  <c r="J71" i="2"/>
  <c r="K23" i="1"/>
  <c r="J60" i="2"/>
  <c r="J62" i="2" s="1"/>
  <c r="J22" i="2"/>
  <c r="J24" i="2" s="1"/>
  <c r="K25" i="1" l="1"/>
  <c r="K28" i="1" s="1"/>
  <c r="K33" i="1" l="1"/>
  <c r="K38" i="1" s="1"/>
  <c r="K44" i="1" s="1"/>
  <c r="K46" i="1"/>
  <c r="K34" i="14" s="1"/>
  <c r="K42" i="14" s="1"/>
  <c r="K14" i="14" s="1"/>
  <c r="K26" i="2" l="1"/>
  <c r="K33" i="2" s="1"/>
  <c r="K47" i="1"/>
  <c r="K58" i="2" l="1"/>
  <c r="K18" i="2"/>
  <c r="K50" i="14"/>
  <c r="K52" i="14" s="1"/>
  <c r="K21" i="14"/>
  <c r="K51" i="1"/>
  <c r="K19" i="2" s="1"/>
  <c r="L20" i="1" s="1"/>
  <c r="L23" i="1" s="1"/>
  <c r="K42" i="2"/>
  <c r="K65" i="2"/>
  <c r="K69" i="2" s="1"/>
  <c r="K60" i="2" l="1"/>
  <c r="K62" i="2" s="1"/>
  <c r="K22" i="2"/>
  <c r="K24" i="2" s="1"/>
  <c r="K25" i="14"/>
  <c r="K10" i="14"/>
  <c r="K71" i="2"/>
  <c r="L25" i="1"/>
  <c r="L28" i="1" s="1"/>
  <c r="K12" i="14" l="1"/>
  <c r="K27" i="14"/>
  <c r="L46" i="1"/>
  <c r="L33" i="1"/>
  <c r="L38" i="1" s="1"/>
  <c r="L44" i="1" s="1"/>
  <c r="B12" i="12"/>
  <c r="L26" i="2" l="1"/>
  <c r="L58" i="2" s="1"/>
  <c r="L34" i="14"/>
  <c r="L47" i="1"/>
  <c r="C50" i="11"/>
  <c r="F50" i="11" s="1"/>
  <c r="I50" i="11" s="1"/>
  <c r="C51" i="11"/>
  <c r="F51" i="11" s="1"/>
  <c r="I51" i="11" s="1"/>
  <c r="C49" i="11"/>
  <c r="F49" i="11" s="1"/>
  <c r="I49" i="11" s="1"/>
  <c r="L42" i="14" l="1"/>
  <c r="L14" i="14" s="1"/>
  <c r="L21" i="14" s="1"/>
  <c r="L33" i="2"/>
  <c r="L42" i="2" s="1"/>
  <c r="L18" i="2"/>
  <c r="L50" i="14"/>
  <c r="L51" i="1"/>
  <c r="L19" i="2" s="1"/>
  <c r="L25" i="14" l="1"/>
  <c r="L27" i="14" s="1"/>
  <c r="L65" i="2"/>
  <c r="L69" i="2" s="1"/>
  <c r="L52" i="14"/>
  <c r="L10" i="14" s="1"/>
  <c r="L12" i="14" s="1"/>
  <c r="B20" i="8"/>
  <c r="B19" i="8"/>
  <c r="L60" i="2"/>
  <c r="L62" i="2" s="1"/>
  <c r="B21" i="8"/>
  <c r="L22" i="2"/>
  <c r="L24" i="2" s="1"/>
  <c r="L71" i="2"/>
  <c r="B21" i="3" l="1"/>
  <c r="D21" i="8"/>
  <c r="D19" i="8"/>
  <c r="B19" i="3"/>
  <c r="D20" i="8"/>
  <c r="B20" i="3"/>
  <c r="F42" i="8" l="1"/>
  <c r="F45" i="8" s="1"/>
  <c r="D20" i="3"/>
  <c r="E43" i="3" s="1"/>
  <c r="E46" i="3" s="1"/>
  <c r="E42" i="8"/>
  <c r="E45" i="8" s="1"/>
  <c r="D14" i="13" s="1"/>
  <c r="D19" i="3"/>
  <c r="D43" i="3" s="1"/>
  <c r="D46" i="3" s="1"/>
  <c r="D7" i="13" s="1"/>
  <c r="G42" i="8"/>
  <c r="G45" i="8" s="1"/>
  <c r="D16" i="13" s="1"/>
  <c r="D21" i="3"/>
  <c r="F43" i="3" s="1"/>
  <c r="F46" i="3" s="1"/>
  <c r="D9" i="13" s="1"/>
  <c r="D8" i="13" l="1"/>
  <c r="D55" i="12"/>
  <c r="D15" i="13"/>
  <c r="C55" i="12"/>
</calcChain>
</file>

<file path=xl/sharedStrings.xml><?xml version="1.0" encoding="utf-8"?>
<sst xmlns="http://schemas.openxmlformats.org/spreadsheetml/2006/main" count="443" uniqueCount="302">
  <si>
    <t>Acquisition</t>
  </si>
  <si>
    <t>Cas 1</t>
  </si>
  <si>
    <t>Cas 2</t>
  </si>
  <si>
    <t>Cas 3</t>
  </si>
  <si>
    <t>Analyse de l'ORA</t>
  </si>
  <si>
    <t>Nombre d'actions émises</t>
  </si>
  <si>
    <t>Les ORA créent</t>
  </si>
  <si>
    <t>Prix d'acquisition</t>
  </si>
  <si>
    <t>Soit, par action initiale</t>
  </si>
  <si>
    <t>Détermination du rendement des capitaux propres</t>
  </si>
  <si>
    <t>Dividendes</t>
  </si>
  <si>
    <t>par action (Frs)</t>
  </si>
  <si>
    <t>Rendement actuariel attendu par les investisseurs</t>
  </si>
  <si>
    <t>Actionnaires</t>
  </si>
  <si>
    <t>Chiffre d'affaires (Prod. Expl.)</t>
  </si>
  <si>
    <t>Résultat d'exploitation</t>
  </si>
  <si>
    <t>Résultat net</t>
  </si>
  <si>
    <t>Vente de SECAP en 2001 à Pitney Bowes pour environ 220MEuros</t>
  </si>
  <si>
    <t>Retrait de la Cote des dernières actions SECAP en circulation (0,10%)</t>
  </si>
  <si>
    <t>Prix de retrait =</t>
  </si>
  <si>
    <t>Euros, soit</t>
  </si>
  <si>
    <t>Frs par action</t>
  </si>
  <si>
    <t>Valeur d'une action @220ME</t>
  </si>
  <si>
    <t>ORA</t>
  </si>
  <si>
    <t>TIR</t>
  </si>
  <si>
    <t>Médian</t>
  </si>
  <si>
    <t>Rendement réel constaté par les investisseurs</t>
  </si>
  <si>
    <t>SECAP / Historique du Cash-Flow</t>
  </si>
  <si>
    <t xml:space="preserve">         SECAP / Historique du Bilan</t>
  </si>
  <si>
    <t xml:space="preserve">      1/  ESTIMATION PAR LES "FREE CASH FLOWS"</t>
  </si>
  <si>
    <t xml:space="preserve">      2 / ESTIMATION PAR LES DIVIDENDES</t>
  </si>
  <si>
    <t>VALEUR DE LA FIRME</t>
  </si>
  <si>
    <t>CARACTERISTIQUES DU FINANCEMENT</t>
  </si>
  <si>
    <t>MF</t>
  </si>
  <si>
    <t xml:space="preserve">     1/ O R A</t>
  </si>
  <si>
    <t>26 000 Frs</t>
  </si>
  <si>
    <t>13,1% --&gt; 30/6/93  ;  15,8%  DU 1/7/93 --&gt; 30/6/99</t>
  </si>
  <si>
    <t>100 000 Frs</t>
  </si>
  <si>
    <t>143 000 Frs à l'échéance, soit le 30/6/99</t>
  </si>
  <si>
    <t>Prix Total</t>
  </si>
  <si>
    <t>Capital social</t>
  </si>
  <si>
    <t>Dette Mezzanine</t>
  </si>
  <si>
    <t xml:space="preserve">     2/ Obligation subordonnée</t>
  </si>
  <si>
    <t>Dette senior</t>
  </si>
  <si>
    <t>Financement SECAP</t>
  </si>
  <si>
    <t>Taux d'intérêt</t>
  </si>
  <si>
    <t>Nominal</t>
  </si>
  <si>
    <t>Remboursée par</t>
  </si>
  <si>
    <t>Remboursée</t>
  </si>
  <si>
    <t>Financière SECAP</t>
  </si>
  <si>
    <t>FLUX TOTAUX</t>
  </si>
  <si>
    <t>Échéances</t>
  </si>
  <si>
    <t>Flux de capitaux</t>
  </si>
  <si>
    <t>Coupons (F)</t>
  </si>
  <si>
    <t>Coupons (%)</t>
  </si>
  <si>
    <t>Flux totaux</t>
  </si>
  <si>
    <t>Analyse de l'obligation subordonnée</t>
  </si>
  <si>
    <t>Taux de rendement actuariel</t>
  </si>
  <si>
    <t>HYPOTHESES</t>
  </si>
  <si>
    <t>D/FP</t>
  </si>
  <si>
    <t>G</t>
  </si>
  <si>
    <t>VALEUR DE LA FIRME A L'INFINI</t>
  </si>
  <si>
    <t>VALEUR D'UNE ACTION</t>
  </si>
  <si>
    <t>CAS  1</t>
  </si>
  <si>
    <t>FRS</t>
  </si>
  <si>
    <t>CAS  2</t>
  </si>
  <si>
    <t>CAS  3</t>
  </si>
  <si>
    <t>Nombre d'obligations émises</t>
  </si>
  <si>
    <t>Chaque ORA crèe</t>
  </si>
  <si>
    <t>Nombre initial d'actions</t>
  </si>
  <si>
    <t>Nombre d'actions créées</t>
  </si>
  <si>
    <t>Nombre final d'actions</t>
  </si>
  <si>
    <t>Obligations</t>
  </si>
  <si>
    <t>Actions</t>
  </si>
  <si>
    <t>Frs</t>
  </si>
  <si>
    <t xml:space="preserve"> REPARTITION DU CHIFFRE D'AFFAIRES BUDGETE</t>
  </si>
  <si>
    <t>TOTAL</t>
  </si>
  <si>
    <t>ESTIME</t>
  </si>
  <si>
    <t>ACTIF</t>
  </si>
  <si>
    <t>PASSIF</t>
  </si>
  <si>
    <t xml:space="preserve"> </t>
  </si>
  <si>
    <t>SECAP</t>
  </si>
  <si>
    <t>Compte de résultat</t>
  </si>
  <si>
    <t>SECAP / Bilan prévisionnel</t>
  </si>
  <si>
    <t>Bilan</t>
  </si>
  <si>
    <t>Estimé</t>
  </si>
  <si>
    <t>SECAP / Compte de résultat historique</t>
  </si>
  <si>
    <t>Immobilisations corporelles nettes</t>
  </si>
  <si>
    <t>Immobilisations financières</t>
  </si>
  <si>
    <t>Stocks</t>
  </si>
  <si>
    <t>Clients et effets à recevoir</t>
  </si>
  <si>
    <t>Trésorerie</t>
  </si>
  <si>
    <t>Actif immobilisé</t>
  </si>
  <si>
    <t>Actif circulant</t>
  </si>
  <si>
    <t>Total Actif</t>
  </si>
  <si>
    <t>Capitaux propres</t>
  </si>
  <si>
    <t>Provisions pour risques et charges</t>
  </si>
  <si>
    <t>Dettes à long terme</t>
  </si>
  <si>
    <t>Capitaux permanents</t>
  </si>
  <si>
    <t>Fournisseurs et effets à payer</t>
  </si>
  <si>
    <t>Produits constatés d'avance</t>
  </si>
  <si>
    <t>Autres créances d'exploitation</t>
  </si>
  <si>
    <t>Autres dettes d'exploitation</t>
  </si>
  <si>
    <t>Passif circulant</t>
  </si>
  <si>
    <t>Total Passif</t>
  </si>
  <si>
    <t>Chiffre d'affaires, net</t>
  </si>
  <si>
    <t>Production immobilisée</t>
  </si>
  <si>
    <t>Produits d'exploitation</t>
  </si>
  <si>
    <t>Coût des ventes</t>
  </si>
  <si>
    <t>Frais de personnel</t>
  </si>
  <si>
    <t>Autres charges d'exploitation</t>
  </si>
  <si>
    <t>Charges monétaires d'exploitation</t>
  </si>
  <si>
    <t>Dotation aux provisions</t>
  </si>
  <si>
    <t>EBITDA</t>
  </si>
  <si>
    <t>Dotations aux amortissements</t>
  </si>
  <si>
    <t>Résultat d'exploitation - EBIT</t>
  </si>
  <si>
    <t>Résultat financier</t>
  </si>
  <si>
    <t>Résultat exceptionnel</t>
  </si>
  <si>
    <t>Résutat avant impôts</t>
  </si>
  <si>
    <t>Impôts et taxes d'exploitation</t>
  </si>
  <si>
    <t>Tableau de financement</t>
  </si>
  <si>
    <t>Dotation aux amortissements</t>
  </si>
  <si>
    <t>Cash-flow brut</t>
  </si>
  <si>
    <t>Bilan comptable</t>
  </si>
  <si>
    <t>Bilan financier</t>
  </si>
  <si>
    <t xml:space="preserve"> + Besoin en Fonds de Roulement</t>
  </si>
  <si>
    <t xml:space="preserve"> = Capitaux Engagés</t>
  </si>
  <si>
    <t xml:space="preserve"> + Endettement financier net</t>
  </si>
  <si>
    <t xml:space="preserve"> = Ressources Financières Nettes</t>
  </si>
  <si>
    <t xml:space="preserve"> - Variation du BFR</t>
  </si>
  <si>
    <t>Cash-Flow d'exploitation</t>
  </si>
  <si>
    <t>Cash-Flow disponible</t>
  </si>
  <si>
    <t>Variation de la dette à long terme</t>
  </si>
  <si>
    <t>Variation de la trésorerie</t>
  </si>
  <si>
    <t>Autres</t>
  </si>
  <si>
    <t>Fonds de Roulement</t>
  </si>
  <si>
    <t xml:space="preserve"> - Besoin en Fonds de Roulement</t>
  </si>
  <si>
    <t xml:space="preserve"> = Trésorerie nette</t>
  </si>
  <si>
    <t>SECAP  /  Performance</t>
  </si>
  <si>
    <t xml:space="preserve">RATIOS </t>
  </si>
  <si>
    <t>EBITDA / Produits d'exploitation</t>
  </si>
  <si>
    <t xml:space="preserve"> * (1 + ratio d'endettement)</t>
  </si>
  <si>
    <t>Marge Brute / Chiffre d'affaires</t>
  </si>
  <si>
    <t>EBITDA / Chiffre d'affaires</t>
  </si>
  <si>
    <t xml:space="preserve">    Rentabilité commerciale (ROS = RN / Chiffre d'affaires)</t>
  </si>
  <si>
    <t xml:space="preserve"> * Rotation des actifs   (ATO = Chiffre d'affaires / CE)</t>
  </si>
  <si>
    <t>Rentabilité financière  (ROE = RN / CP)</t>
  </si>
  <si>
    <t>Ratio d'endettement (Endettement / Capitaux propres)</t>
  </si>
  <si>
    <t>Levier financier  (Endettement / EBITDA)</t>
  </si>
  <si>
    <t>Rotation des actifs  (ATO = Chiffre d'affaires / CE)</t>
  </si>
  <si>
    <t>ROCE</t>
  </si>
  <si>
    <t>Taux apparent d'imposition</t>
  </si>
  <si>
    <t>ROCE après impôts</t>
  </si>
  <si>
    <t>CMPC</t>
  </si>
  <si>
    <t>Résultat économique - EP(%)</t>
  </si>
  <si>
    <t>Résultat économique - EP(€)</t>
  </si>
  <si>
    <t>% du total</t>
  </si>
  <si>
    <t>% de croissance</t>
  </si>
  <si>
    <t>Location de matériel</t>
  </si>
  <si>
    <t>Vente de matériel</t>
  </si>
  <si>
    <t>Négoce de fournitures</t>
  </si>
  <si>
    <t>Vente de matériel postal</t>
  </si>
  <si>
    <t>Autres immobilisations</t>
  </si>
  <si>
    <t>Crédit Clients</t>
  </si>
  <si>
    <t>Créance sur Holding</t>
  </si>
  <si>
    <t>Provision pour risques et charges</t>
  </si>
  <si>
    <t>Crédit Fournisseurs</t>
  </si>
  <si>
    <t>Chiffre d'affaires</t>
  </si>
  <si>
    <t>Croissance du CA (%)</t>
  </si>
  <si>
    <t>EBITDA / CA</t>
  </si>
  <si>
    <t>Résultat avant impôts</t>
  </si>
  <si>
    <t>Cash-Flow brut</t>
  </si>
  <si>
    <t>Cash-Flow opérationnel</t>
  </si>
  <si>
    <t>Remontées Holding</t>
  </si>
  <si>
    <t>Variation nette de trésorerie</t>
  </si>
  <si>
    <t xml:space="preserve"> + Amortissements</t>
  </si>
  <si>
    <t>Stocks en % du chiffre d'affaires</t>
  </si>
  <si>
    <t>BFR / Chiffre d'affaires</t>
  </si>
  <si>
    <t>Crédit Clients en jours de chiffre d'affaires</t>
  </si>
  <si>
    <t>Trésorerie + Créances Holding</t>
  </si>
  <si>
    <t xml:space="preserve">   EBITDA</t>
  </si>
  <si>
    <t xml:space="preserve">   EBITDA * ( 1 - T)</t>
  </si>
  <si>
    <t xml:space="preserve">   Amortissement</t>
  </si>
  <si>
    <t xml:space="preserve">   Amortissement * T</t>
  </si>
  <si>
    <t xml:space="preserve"> - Investissements</t>
  </si>
  <si>
    <t xml:space="preserve"> = Free Cash-Flow</t>
  </si>
  <si>
    <t>PRMA</t>
  </si>
  <si>
    <t>Croissance à long terme</t>
  </si>
  <si>
    <t>Valeur terminale</t>
  </si>
  <si>
    <t>Valeur de la dette</t>
  </si>
  <si>
    <t>Valeur des Capitaux Propres</t>
  </si>
  <si>
    <t>Valeur terminale actualisée</t>
  </si>
  <si>
    <t>Valeur d'acquisition</t>
  </si>
  <si>
    <t>Valeur d'Entreprise  (EV)</t>
  </si>
  <si>
    <t>MTB  (EV / CE)</t>
  </si>
  <si>
    <t>ROCE après impôts / CMPC</t>
  </si>
  <si>
    <t xml:space="preserve">Croissance implicite </t>
  </si>
  <si>
    <t>Croissance moyenne anticipée</t>
  </si>
  <si>
    <t xml:space="preserve"> - Passifs d'exploitation à long terme</t>
  </si>
  <si>
    <t>Titres de participation</t>
  </si>
  <si>
    <t>Obligation Subordonnée</t>
  </si>
  <si>
    <t>Obligation Remboursable en Actions</t>
  </si>
  <si>
    <t>Capitaux propres + Mezzanine</t>
  </si>
  <si>
    <t>Dette Senior</t>
  </si>
  <si>
    <t>Créance SECAP</t>
  </si>
  <si>
    <t>Dividendes reçus</t>
  </si>
  <si>
    <t xml:space="preserve"> - Coupons ORA</t>
  </si>
  <si>
    <t xml:space="preserve"> - Coupons Obligation Subordonnée</t>
  </si>
  <si>
    <t xml:space="preserve"> - Frais financiers dette senior</t>
  </si>
  <si>
    <t xml:space="preserve"> = Résultat de la Holding</t>
  </si>
  <si>
    <t xml:space="preserve"> - Remboursement dette senior</t>
  </si>
  <si>
    <t xml:space="preserve"> - Remboursement Oblig. Subordonnée</t>
  </si>
  <si>
    <t xml:space="preserve"> + Remontées SECAP</t>
  </si>
  <si>
    <t xml:space="preserve"> = Variation de la Trésorerie Holding</t>
  </si>
  <si>
    <r>
      <t>ß</t>
    </r>
    <r>
      <rPr>
        <u/>
        <sz val="10"/>
        <rFont val="Geneva"/>
        <family val="2"/>
      </rPr>
      <t>U</t>
    </r>
  </si>
  <si>
    <r>
      <t>ß</t>
    </r>
    <r>
      <rPr>
        <u/>
        <sz val="10"/>
        <rFont val="Geneva"/>
        <family val="2"/>
      </rPr>
      <t>L</t>
    </r>
  </si>
  <si>
    <r>
      <t>R</t>
    </r>
    <r>
      <rPr>
        <u/>
        <sz val="10"/>
        <rFont val="Geneva"/>
        <family val="2"/>
      </rPr>
      <t>0</t>
    </r>
  </si>
  <si>
    <r>
      <t>E(R</t>
    </r>
    <r>
      <rPr>
        <u/>
        <sz val="10"/>
        <rFont val="Geneva"/>
        <family val="2"/>
      </rPr>
      <t>CP</t>
    </r>
    <r>
      <rPr>
        <u/>
        <sz val="14"/>
        <rFont val="Geneva"/>
        <family val="2"/>
      </rPr>
      <t>)</t>
    </r>
  </si>
  <si>
    <t>SECAP / P&amp;L et tableau de financement prévisionnels</t>
  </si>
  <si>
    <t>P&amp;L et financement</t>
  </si>
  <si>
    <t xml:space="preserve"> + Crédit d'impôt frais financiers (intégration fiscale)</t>
  </si>
  <si>
    <t>1 600 000 actions, nominal = 100 Frs</t>
  </si>
  <si>
    <t>Capex en % du chiffre d'affaires</t>
  </si>
  <si>
    <t>Capex / Amortissement</t>
  </si>
  <si>
    <t>EBIT / Chiffre d'affaires</t>
  </si>
  <si>
    <t>Stocks en jours de chiffre d'affaires</t>
  </si>
  <si>
    <t>Crédit Fournisseurs en jours de chiffre d'affaires</t>
  </si>
  <si>
    <t>Produits constatés d'avance en jours de chiffre d'affaires</t>
  </si>
  <si>
    <t>Cycle de Conversion du Cash</t>
  </si>
  <si>
    <t>Intérêt</t>
  </si>
  <si>
    <t>Inflation</t>
  </si>
  <si>
    <t>Année</t>
  </si>
  <si>
    <t>CAGR</t>
  </si>
  <si>
    <t>Investisseur</t>
  </si>
  <si>
    <t xml:space="preserve">TRI  </t>
  </si>
  <si>
    <t>Investissement</t>
  </si>
  <si>
    <t>P&amp;L et Trésorerie</t>
  </si>
  <si>
    <t>FORMULE DU PONT DE NEMOURS ÉTENDUE  :</t>
  </si>
  <si>
    <t>Inflation prévisible</t>
  </si>
  <si>
    <t>CAGR réel</t>
  </si>
  <si>
    <t xml:space="preserve">  Rendement exigé par les actionnaires</t>
  </si>
  <si>
    <t xml:space="preserve">  Taux d'intérêt à long terme en 1990</t>
  </si>
  <si>
    <t xml:space="preserve">  Coût de la dette</t>
  </si>
  <si>
    <t xml:space="preserve">  Ratio dette / capitaux propres</t>
  </si>
  <si>
    <t xml:space="preserve">  Taux d'imposition</t>
  </si>
  <si>
    <t xml:space="preserve">  Valeur des Capitaux Engagés  (EV)</t>
  </si>
  <si>
    <t xml:space="preserve">  Valeur terminale</t>
  </si>
  <si>
    <t>M€</t>
  </si>
  <si>
    <t>CAGR nominal</t>
  </si>
  <si>
    <t>Prévu</t>
  </si>
  <si>
    <t>Réel</t>
  </si>
  <si>
    <t xml:space="preserve">Nombre d'actions </t>
  </si>
  <si>
    <t>Dette = 8,6M€ et actif circulant de 11,5M€</t>
  </si>
  <si>
    <t>Obligation Subordonnées remboursées</t>
  </si>
  <si>
    <t>Obkligations Remboursables converties en actions</t>
  </si>
  <si>
    <t>Années</t>
  </si>
  <si>
    <t>Flux de Fonds</t>
  </si>
  <si>
    <t>Dividendes versés au titre de 1998</t>
  </si>
  <si>
    <t xml:space="preserve"> ( en Frs )</t>
  </si>
  <si>
    <t>185 Actions  au  30/06/99  ( minimum &gt; 5 ans )</t>
  </si>
  <si>
    <t xml:space="preserve"> - Impôt sur les bénéfices</t>
  </si>
  <si>
    <t xml:space="preserve"> - Investissements nets de cessions</t>
  </si>
  <si>
    <t xml:space="preserve"> + Dotation aux amortissements</t>
  </si>
  <si>
    <t>Onglets</t>
  </si>
  <si>
    <t>Historique P&amp;L</t>
  </si>
  <si>
    <t>Historique Bilan</t>
  </si>
  <si>
    <t>Analyse financière</t>
  </si>
  <si>
    <t>CCC historique  GR</t>
  </si>
  <si>
    <t>EBITDA - Capex  GR</t>
  </si>
  <si>
    <t>ROCE historique  GR</t>
  </si>
  <si>
    <t>Prévision CA 5 ans</t>
  </si>
  <si>
    <t>Prévision P&amp;L &amp; CF</t>
  </si>
  <si>
    <t>Prévision P&amp;L &amp; CF  GR</t>
  </si>
  <si>
    <t>Prévision CA &amp; CE  GR</t>
  </si>
  <si>
    <t>Prévision Bilan</t>
  </si>
  <si>
    <t>Taux</t>
  </si>
  <si>
    <t>Structuration</t>
  </si>
  <si>
    <t>Prévision Holding</t>
  </si>
  <si>
    <t>Obligation subordonnée</t>
  </si>
  <si>
    <t>Obligation remboursable</t>
  </si>
  <si>
    <t>Actions ordinaires</t>
  </si>
  <si>
    <t>Global</t>
  </si>
  <si>
    <t>Dénouement</t>
  </si>
  <si>
    <t>P&amp;L et génération de trésorerie de SECAP de 1985 à l'estimé 1989</t>
  </si>
  <si>
    <t>Bilans comptable et financier de 1985 à 1989 estimé, calcul du Fonds de Roulement et de la Trésorerie Nette</t>
  </si>
  <si>
    <t>EBIT, EBITDA et investissements industriels en pourcentage du chiffre d'affaires de 1985 à 1989</t>
  </si>
  <si>
    <t>Calcul des ratios de rentabilité commerciale, économique et financière, formules (2) Dupont-De-Nemours, calcul du résultat économique (% et €), du Market-To-Book (EV / CE) et de la croissance implicite</t>
  </si>
  <si>
    <t>Prévision du chiffre d'affaires par ligne d'activité de SECAP</t>
  </si>
  <si>
    <t>Prévision du P&amp;L et du tableau de financement de 1989 à 1999</t>
  </si>
  <si>
    <t>Graphe : Cycle de Conversion du Cash en jours de chiffre d'affaires mettant en lumière l'importance des "produits constatés d'avance"</t>
  </si>
  <si>
    <t>Graphe : ROCE, ROS et ATO de 1985 à 1989</t>
  </si>
  <si>
    <t>Graphe : EBITDA et investissements en pourcentage des ventes, et ventes en Frs de 1989 à 1999</t>
  </si>
  <si>
    <t>Graphe : Prévision du chiffre d'affaires et des capitaux engagés de 1989 à 1999</t>
  </si>
  <si>
    <t>Prévision du bilan de SECAP de 1989 à 1999, incluant bilan financier, fonds de roulement et trésorerie nette</t>
  </si>
  <si>
    <t>Taux d'inflation et d'intérêt à long terme en Franc de 1980 à 2022</t>
  </si>
  <si>
    <t>Instruments de financement de la Holding Financière SECAP</t>
  </si>
  <si>
    <t>Prévision financière et équilibre de trésorerie de la Financière SECAP</t>
  </si>
  <si>
    <t>Analyse du rendement de l'obligation subordonnée</t>
  </si>
  <si>
    <t>Analyse du rendement de l'obligation remboursable en actions</t>
  </si>
  <si>
    <t>Analyse du rendement des actions ordinaires</t>
  </si>
  <si>
    <t>Résumé du rendement prévu pas instrument de financement</t>
  </si>
  <si>
    <t>Rendement réel vs. prévu résultant de l'acquisition de SECAP par la société Pitney Bowes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</si>
</sst>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\ ;\(#,##0\)\ "/>
    <numFmt numFmtId="166" formatCode="#,##0,;\(#,##0\)\ "/>
    <numFmt numFmtId="167" formatCode="#,##0;\(#,##0\)"/>
    <numFmt numFmtId="168" formatCode="#,##0.00;\(#,##0.00\)"/>
    <numFmt numFmtId="169" formatCode="0.00%;\(0.00%\)"/>
    <numFmt numFmtId="170" formatCode="#,##0.0"/>
    <numFmt numFmtId="171" formatCode="0.0"/>
    <numFmt numFmtId="172" formatCode="#,##0.0\ ;\(#,##0.0\)\ "/>
    <numFmt numFmtId="173" formatCode="#,##0.0_);\(#,##0.0\)"/>
    <numFmt numFmtId="174" formatCode="#\ \ ##0;\(#\ \ ##0\)"/>
    <numFmt numFmtId="175" formatCode="#,##0.000"/>
    <numFmt numFmtId="176" formatCode="mmm\-yyyy"/>
    <numFmt numFmtId="177" formatCode="#\ ###\ \ ##0;\(#\ \ ##0\)"/>
  </numFmts>
  <fonts count="44" x14ac:knownFonts="1">
    <font>
      <sz val="10"/>
      <name val="Verdana"/>
    </font>
    <font>
      <sz val="10"/>
      <name val="Verdana"/>
      <family val="2"/>
    </font>
    <font>
      <b/>
      <sz val="14"/>
      <name val="Geneva"/>
      <family val="2"/>
    </font>
    <font>
      <sz val="8"/>
      <name val="Verdana"/>
      <family val="2"/>
    </font>
    <font>
      <sz val="14"/>
      <name val="Geneva"/>
      <family val="2"/>
    </font>
    <font>
      <b/>
      <sz val="11"/>
      <name val="Geneva"/>
      <family val="2"/>
    </font>
    <font>
      <sz val="11"/>
      <name val="Geneva"/>
      <family val="2"/>
    </font>
    <font>
      <b/>
      <sz val="10"/>
      <name val="Geneva"/>
      <family val="2"/>
    </font>
    <font>
      <b/>
      <u/>
      <sz val="24"/>
      <name val="Verdana"/>
      <family val="2"/>
    </font>
    <font>
      <b/>
      <sz val="7.5"/>
      <color indexed="8"/>
      <name val="Geneva"/>
      <family val="2"/>
    </font>
    <font>
      <b/>
      <sz val="18"/>
      <color indexed="8"/>
      <name val="Geneva"/>
      <family val="2"/>
    </font>
    <font>
      <b/>
      <sz val="10"/>
      <color indexed="8"/>
      <name val="Geneva"/>
      <family val="2"/>
    </font>
    <font>
      <b/>
      <sz val="12"/>
      <color indexed="8"/>
      <name val="Geneva"/>
      <family val="2"/>
    </font>
    <font>
      <b/>
      <i/>
      <u/>
      <sz val="20"/>
      <name val="Geneva"/>
      <family val="2"/>
    </font>
    <font>
      <b/>
      <sz val="15"/>
      <name val="Geneva"/>
      <family val="2"/>
    </font>
    <font>
      <b/>
      <u/>
      <sz val="14"/>
      <name val="Verdana"/>
      <family val="2"/>
    </font>
    <font>
      <b/>
      <i/>
      <sz val="10"/>
      <name val="Geneva"/>
      <family val="2"/>
    </font>
    <font>
      <b/>
      <u/>
      <sz val="14"/>
      <name val="Geneva"/>
      <family val="2"/>
    </font>
    <font>
      <b/>
      <sz val="12"/>
      <name val="Geneva"/>
      <family val="2"/>
    </font>
    <font>
      <sz val="12"/>
      <name val="Geneva"/>
      <family val="2"/>
    </font>
    <font>
      <sz val="10"/>
      <name val="Geneva"/>
      <family val="2"/>
    </font>
    <font>
      <b/>
      <sz val="10"/>
      <name val="Verdana"/>
      <family val="2"/>
    </font>
    <font>
      <b/>
      <u/>
      <sz val="18"/>
      <name val="Geneva"/>
      <family val="2"/>
    </font>
    <font>
      <b/>
      <u/>
      <sz val="18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2"/>
      <color indexed="8"/>
      <name val="Geneva"/>
      <family val="2"/>
    </font>
    <font>
      <sz val="7.5"/>
      <color indexed="8"/>
      <name val="Geneva"/>
      <family val="2"/>
    </font>
    <font>
      <sz val="10"/>
      <color indexed="8"/>
      <name val="Geneva"/>
      <family val="2"/>
    </font>
    <font>
      <b/>
      <sz val="14"/>
      <color indexed="8"/>
      <name val="Geneva"/>
      <family val="2"/>
    </font>
    <font>
      <b/>
      <sz val="14"/>
      <name val="Verdana"/>
      <family val="2"/>
    </font>
    <font>
      <b/>
      <sz val="18"/>
      <name val="Geneva"/>
      <family val="2"/>
    </font>
    <font>
      <u/>
      <sz val="10"/>
      <name val="Geneva"/>
      <family val="2"/>
    </font>
    <font>
      <u/>
      <sz val="14"/>
      <name val="Geneva"/>
      <family val="2"/>
    </font>
    <font>
      <b/>
      <u/>
      <sz val="16"/>
      <name val="Verdana"/>
      <family val="2"/>
    </font>
    <font>
      <b/>
      <i/>
      <sz val="12"/>
      <name val="Geneva"/>
      <family val="2"/>
    </font>
    <font>
      <b/>
      <sz val="16"/>
      <name val="Geneva"/>
      <family val="2"/>
    </font>
    <font>
      <i/>
      <sz val="12"/>
      <name val="Verdana"/>
      <family val="2"/>
    </font>
    <font>
      <sz val="14"/>
      <color rgb="FF00B050"/>
      <name val="Verdana"/>
      <family val="2"/>
    </font>
    <font>
      <b/>
      <sz val="14"/>
      <color theme="4"/>
      <name val="Geneva"/>
      <family val="2"/>
    </font>
    <font>
      <b/>
      <i/>
      <sz val="14"/>
      <name val="Geneva"/>
      <family val="2"/>
    </font>
    <font>
      <sz val="11"/>
      <color theme="4"/>
      <name val="Verdana"/>
      <family val="2"/>
    </font>
    <font>
      <b/>
      <u/>
      <sz val="10"/>
      <color theme="4"/>
      <name val="Verdana"/>
      <family val="2"/>
    </font>
    <font>
      <sz val="18"/>
      <color theme="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/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5" xfId="0" applyBorder="1"/>
    <xf numFmtId="0" fontId="2" fillId="0" borderId="14" xfId="0" applyFont="1" applyBorder="1" applyAlignment="1">
      <alignment horizontal="center"/>
    </xf>
    <xf numFmtId="0" fontId="0" fillId="0" borderId="12" xfId="0" applyBorder="1"/>
    <xf numFmtId="1" fontId="0" fillId="0" borderId="14" xfId="0" applyNumberFormat="1" applyBorder="1" applyAlignment="1">
      <alignment horizontal="center"/>
    </xf>
    <xf numFmtId="0" fontId="7" fillId="0" borderId="9" xfId="0" applyFont="1" applyBorder="1"/>
    <xf numFmtId="0" fontId="9" fillId="0" borderId="0" xfId="0" applyFont="1"/>
    <xf numFmtId="0" fontId="10" fillId="0" borderId="13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12" xfId="0" applyFont="1" applyBorder="1"/>
    <xf numFmtId="0" fontId="9" fillId="0" borderId="14" xfId="0" applyFont="1" applyBorder="1"/>
    <xf numFmtId="0" fontId="9" fillId="0" borderId="15" xfId="0" applyFont="1" applyBorder="1"/>
    <xf numFmtId="2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0" fontId="11" fillId="0" borderId="14" xfId="0" applyFont="1" applyBorder="1"/>
    <xf numFmtId="3" fontId="11" fillId="0" borderId="14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4" fillId="0" borderId="6" xfId="0" applyFont="1" applyBorder="1" applyAlignment="1">
      <alignment horizontal="center"/>
    </xf>
    <xf numFmtId="9" fontId="4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4" fillId="0" borderId="1" xfId="0" applyFont="1" applyBorder="1"/>
    <xf numFmtId="0" fontId="0" fillId="0" borderId="2" xfId="0" applyBorder="1"/>
    <xf numFmtId="10" fontId="14" fillId="0" borderId="3" xfId="0" applyNumberFormat="1" applyFont="1" applyBorder="1" applyAlignment="1">
      <alignment horizontal="center"/>
    </xf>
    <xf numFmtId="0" fontId="15" fillId="0" borderId="0" xfId="0" applyFont="1"/>
    <xf numFmtId="3" fontId="4" fillId="0" borderId="0" xfId="0" applyNumberFormat="1" applyFont="1"/>
    <xf numFmtId="0" fontId="16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9" fontId="0" fillId="0" borderId="21" xfId="0" applyNumberFormat="1" applyBorder="1" applyAlignment="1">
      <alignment horizontal="center"/>
    </xf>
    <xf numFmtId="3" fontId="4" fillId="0" borderId="10" xfId="0" applyNumberFormat="1" applyFont="1" applyBorder="1"/>
    <xf numFmtId="3" fontId="0" fillId="0" borderId="0" xfId="0" applyNumberFormat="1"/>
    <xf numFmtId="0" fontId="17" fillId="0" borderId="7" xfId="0" applyFont="1" applyBorder="1"/>
    <xf numFmtId="0" fontId="17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8" fillId="0" borderId="0" xfId="0" applyFont="1" applyAlignment="1">
      <alignment horizontal="right"/>
    </xf>
    <xf numFmtId="3" fontId="19" fillId="0" borderId="0" xfId="0" applyNumberFormat="1" applyFont="1"/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0" xfId="0" applyFont="1"/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7" fontId="19" fillId="0" borderId="14" xfId="0" applyNumberFormat="1" applyFont="1" applyBorder="1" applyAlignment="1">
      <alignment horizontal="center"/>
    </xf>
    <xf numFmtId="167" fontId="19" fillId="0" borderId="14" xfId="0" applyNumberFormat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0" fontId="20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center"/>
    </xf>
    <xf numFmtId="4" fontId="0" fillId="0" borderId="14" xfId="0" applyNumberFormat="1" applyBorder="1"/>
    <xf numFmtId="4" fontId="21" fillId="0" borderId="0" xfId="0" applyNumberFormat="1" applyFont="1"/>
    <xf numFmtId="2" fontId="21" fillId="0" borderId="0" xfId="0" applyNumberFormat="1" applyFont="1"/>
    <xf numFmtId="9" fontId="21" fillId="0" borderId="1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0" fillId="0" borderId="7" xfId="0" applyFont="1" applyBorder="1"/>
    <xf numFmtId="164" fontId="20" fillId="0" borderId="7" xfId="0" applyNumberFormat="1" applyFont="1" applyBorder="1"/>
    <xf numFmtId="0" fontId="20" fillId="0" borderId="4" xfId="0" applyFont="1" applyBorder="1"/>
    <xf numFmtId="0" fontId="22" fillId="0" borderId="0" xfId="0" applyFont="1"/>
    <xf numFmtId="0" fontId="23" fillId="0" borderId="0" xfId="0" applyFont="1"/>
    <xf numFmtId="0" fontId="1" fillId="0" borderId="0" xfId="0" applyFont="1"/>
    <xf numFmtId="0" fontId="18" fillId="0" borderId="12" xfId="0" applyFont="1" applyBorder="1"/>
    <xf numFmtId="3" fontId="18" fillId="0" borderId="12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/>
    <xf numFmtId="3" fontId="2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18" fillId="0" borderId="15" xfId="0" applyFont="1" applyBorder="1"/>
    <xf numFmtId="3" fontId="24" fillId="0" borderId="15" xfId="0" applyNumberFormat="1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19" fillId="0" borderId="14" xfId="0" applyFont="1" applyBorder="1"/>
    <xf numFmtId="0" fontId="19" fillId="0" borderId="15" xfId="0" applyFont="1" applyBorder="1"/>
    <xf numFmtId="0" fontId="19" fillId="0" borderId="13" xfId="0" applyFont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19" fillId="0" borderId="12" xfId="0" applyFont="1" applyBorder="1"/>
    <xf numFmtId="3" fontId="24" fillId="0" borderId="12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4" fillId="0" borderId="14" xfId="0" applyFont="1" applyBorder="1"/>
    <xf numFmtId="3" fontId="25" fillId="0" borderId="14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0" xfId="0" applyFont="1"/>
    <xf numFmtId="1" fontId="2" fillId="0" borderId="14" xfId="0" applyNumberFormat="1" applyFont="1" applyBorder="1" applyAlignment="1">
      <alignment horizontal="center"/>
    </xf>
    <xf numFmtId="0" fontId="4" fillId="0" borderId="1" xfId="0" applyFont="1" applyBorder="1"/>
    <xf numFmtId="0" fontId="27" fillId="0" borderId="15" xfId="0" applyFont="1" applyBorder="1"/>
    <xf numFmtId="0" fontId="28" fillId="0" borderId="14" xfId="0" applyFont="1" applyBorder="1"/>
    <xf numFmtId="0" fontId="19" fillId="0" borderId="3" xfId="0" applyFont="1" applyBorder="1" applyAlignment="1">
      <alignment horizontal="center"/>
    </xf>
    <xf numFmtId="0" fontId="24" fillId="0" borderId="0" xfId="0" applyFont="1"/>
    <xf numFmtId="0" fontId="24" fillId="0" borderId="14" xfId="0" applyFont="1" applyBorder="1"/>
    <xf numFmtId="167" fontId="19" fillId="0" borderId="14" xfId="0" applyNumberFormat="1" applyFont="1" applyBorder="1"/>
    <xf numFmtId="167" fontId="24" fillId="0" borderId="14" xfId="0" applyNumberFormat="1" applyFont="1" applyBorder="1" applyAlignment="1">
      <alignment horizontal="center"/>
    </xf>
    <xf numFmtId="167" fontId="24" fillId="0" borderId="0" xfId="0" applyNumberFormat="1" applyFont="1"/>
    <xf numFmtId="167" fontId="19" fillId="0" borderId="15" xfId="0" applyNumberFormat="1" applyFont="1" applyBorder="1"/>
    <xf numFmtId="167" fontId="24" fillId="0" borderId="15" xfId="0" applyNumberFormat="1" applyFont="1" applyBorder="1" applyAlignment="1">
      <alignment horizontal="center"/>
    </xf>
    <xf numFmtId="167" fontId="19" fillId="0" borderId="0" xfId="0" applyNumberFormat="1" applyFont="1"/>
    <xf numFmtId="167" fontId="24" fillId="0" borderId="0" xfId="0" applyNumberFormat="1" applyFont="1" applyAlignment="1">
      <alignment horizontal="center"/>
    </xf>
    <xf numFmtId="0" fontId="24" fillId="0" borderId="12" xfId="0" applyFont="1" applyBorder="1"/>
    <xf numFmtId="1" fontId="24" fillId="0" borderId="14" xfId="0" applyNumberFormat="1" applyFont="1" applyBorder="1" applyAlignment="1">
      <alignment horizontal="center"/>
    </xf>
    <xf numFmtId="0" fontId="26" fillId="0" borderId="15" xfId="0" applyFont="1" applyBorder="1"/>
    <xf numFmtId="0" fontId="26" fillId="0" borderId="14" xfId="0" applyFont="1" applyBorder="1"/>
    <xf numFmtId="1" fontId="25" fillId="0" borderId="14" xfId="0" applyNumberFormat="1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1" fontId="30" fillId="0" borderId="14" xfId="0" applyNumberFormat="1" applyFont="1" applyBorder="1" applyAlignment="1">
      <alignment horizontal="center"/>
    </xf>
    <xf numFmtId="0" fontId="30" fillId="0" borderId="0" xfId="0" applyFont="1"/>
    <xf numFmtId="0" fontId="2" fillId="0" borderId="3" xfId="0" applyFont="1" applyBorder="1" applyAlignment="1">
      <alignment horizontal="center"/>
    </xf>
    <xf numFmtId="3" fontId="24" fillId="2" borderId="14" xfId="0" applyNumberFormat="1" applyFont="1" applyFill="1" applyBorder="1" applyAlignment="1">
      <alignment horizontal="center"/>
    </xf>
    <xf numFmtId="3" fontId="24" fillId="2" borderId="15" xfId="0" applyNumberFormat="1" applyFont="1" applyFill="1" applyBorder="1" applyAlignment="1">
      <alignment horizontal="center"/>
    </xf>
    <xf numFmtId="165" fontId="24" fillId="0" borderId="0" xfId="0" applyNumberFormat="1" applyFont="1" applyAlignment="1">
      <alignment horizontal="center"/>
    </xf>
    <xf numFmtId="165" fontId="24" fillId="0" borderId="12" xfId="0" applyNumberFormat="1" applyFont="1" applyBorder="1"/>
    <xf numFmtId="165" fontId="24" fillId="0" borderId="14" xfId="0" applyNumberFormat="1" applyFont="1" applyBorder="1" applyAlignment="1">
      <alignment horizontal="center"/>
    </xf>
    <xf numFmtId="0" fontId="24" fillId="0" borderId="15" xfId="0" applyFont="1" applyBorder="1"/>
    <xf numFmtId="165" fontId="24" fillId="0" borderId="15" xfId="0" applyNumberFormat="1" applyFont="1" applyBorder="1" applyAlignment="1">
      <alignment horizontal="center"/>
    </xf>
    <xf numFmtId="165" fontId="24" fillId="0" borderId="12" xfId="0" applyNumberFormat="1" applyFont="1" applyBorder="1" applyAlignment="1">
      <alignment horizontal="center"/>
    </xf>
    <xf numFmtId="0" fontId="25" fillId="0" borderId="14" xfId="0" applyFont="1" applyBorder="1"/>
    <xf numFmtId="165" fontId="25" fillId="0" borderId="14" xfId="0" applyNumberFormat="1" applyFont="1" applyBorder="1" applyAlignment="1">
      <alignment horizontal="center"/>
    </xf>
    <xf numFmtId="0" fontId="28" fillId="0" borderId="13" xfId="0" applyFont="1" applyBorder="1"/>
    <xf numFmtId="9" fontId="0" fillId="0" borderId="14" xfId="1" applyFon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171" fontId="0" fillId="0" borderId="14" xfId="0" applyNumberFormat="1" applyBorder="1" applyAlignment="1">
      <alignment horizontal="center"/>
    </xf>
    <xf numFmtId="0" fontId="19" fillId="0" borderId="0" xfId="0" applyFont="1"/>
    <xf numFmtId="9" fontId="4" fillId="0" borderId="8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71" fontId="4" fillId="0" borderId="7" xfId="0" applyNumberFormat="1" applyFont="1" applyBorder="1" applyAlignment="1">
      <alignment horizontal="center"/>
    </xf>
    <xf numFmtId="0" fontId="19" fillId="0" borderId="8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9" xfId="0" applyFont="1" applyBorder="1"/>
    <xf numFmtId="0" fontId="20" fillId="0" borderId="9" xfId="0" applyFont="1" applyBorder="1"/>
    <xf numFmtId="166" fontId="0" fillId="0" borderId="15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0" fontId="18" fillId="0" borderId="7" xfId="0" applyFont="1" applyBorder="1"/>
    <xf numFmtId="165" fontId="24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9" xfId="0" applyFont="1" applyBorder="1"/>
    <xf numFmtId="165" fontId="24" fillId="0" borderId="9" xfId="0" applyNumberFormat="1" applyFont="1" applyBorder="1" applyAlignment="1">
      <alignment horizontal="center"/>
    </xf>
    <xf numFmtId="0" fontId="31" fillId="0" borderId="1" xfId="0" applyFont="1" applyBorder="1"/>
    <xf numFmtId="165" fontId="25" fillId="0" borderId="7" xfId="0" applyNumberFormat="1" applyFont="1" applyBorder="1" applyAlignment="1">
      <alignment horizontal="center"/>
    </xf>
    <xf numFmtId="165" fontId="25" fillId="0" borderId="12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65" fontId="25" fillId="0" borderId="13" xfId="0" applyNumberFormat="1" applyFont="1" applyBorder="1" applyAlignment="1">
      <alignment horizontal="center"/>
    </xf>
    <xf numFmtId="0" fontId="2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3" fillId="0" borderId="7" xfId="0" applyFont="1" applyBorder="1"/>
    <xf numFmtId="164" fontId="24" fillId="0" borderId="8" xfId="0" applyNumberFormat="1" applyFont="1" applyBorder="1"/>
    <xf numFmtId="0" fontId="1" fillId="0" borderId="8" xfId="0" applyFont="1" applyBorder="1"/>
    <xf numFmtId="0" fontId="24" fillId="0" borderId="8" xfId="0" applyFont="1" applyBorder="1"/>
    <xf numFmtId="9" fontId="24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4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164" fontId="4" fillId="0" borderId="7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5" fillId="0" borderId="12" xfId="0" applyFont="1" applyBorder="1"/>
    <xf numFmtId="0" fontId="2" fillId="0" borderId="15" xfId="0" applyFont="1" applyBorder="1"/>
    <xf numFmtId="1" fontId="25" fillId="0" borderId="15" xfId="0" applyNumberFormat="1" applyFont="1" applyBorder="1" applyAlignment="1">
      <alignment horizontal="center"/>
    </xf>
    <xf numFmtId="165" fontId="25" fillId="0" borderId="9" xfId="0" applyNumberFormat="1" applyFont="1" applyBorder="1" applyAlignment="1">
      <alignment horizontal="center"/>
    </xf>
    <xf numFmtId="165" fontId="25" fillId="0" borderId="15" xfId="0" applyNumberFormat="1" applyFont="1" applyBorder="1" applyAlignment="1">
      <alignment horizontal="center"/>
    </xf>
    <xf numFmtId="0" fontId="2" fillId="0" borderId="12" xfId="0" applyFont="1" applyBorder="1"/>
    <xf numFmtId="0" fontId="25" fillId="0" borderId="15" xfId="0" applyFont="1" applyBorder="1"/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72" fontId="25" fillId="0" borderId="14" xfId="0" applyNumberFormat="1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166" fontId="4" fillId="0" borderId="7" xfId="0" applyNumberFormat="1" applyFont="1" applyBorder="1"/>
    <xf numFmtId="166" fontId="25" fillId="0" borderId="0" xfId="0" applyNumberFormat="1" applyFont="1" applyAlignment="1">
      <alignment horizontal="center"/>
    </xf>
    <xf numFmtId="166" fontId="25" fillId="0" borderId="14" xfId="0" applyNumberFormat="1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25" fillId="0" borderId="7" xfId="0" applyFont="1" applyBorder="1"/>
    <xf numFmtId="9" fontId="25" fillId="0" borderId="0" xfId="0" applyNumberFormat="1" applyFont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9" fontId="25" fillId="0" borderId="10" xfId="0" applyNumberFormat="1" applyFont="1" applyBorder="1" applyAlignment="1">
      <alignment horizontal="center"/>
    </xf>
    <xf numFmtId="164" fontId="25" fillId="0" borderId="11" xfId="0" applyNumberFormat="1" applyFont="1" applyBorder="1" applyAlignment="1">
      <alignment horizontal="center"/>
    </xf>
    <xf numFmtId="3" fontId="25" fillId="0" borderId="0" xfId="0" applyNumberFormat="1" applyFont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166" fontId="25" fillId="0" borderId="1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4" fontId="4" fillId="0" borderId="14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7" fontId="0" fillId="0" borderId="14" xfId="0" applyNumberFormat="1" applyBorder="1" applyAlignment="1">
      <alignment horizontal="center"/>
    </xf>
    <xf numFmtId="0" fontId="24" fillId="0" borderId="0" xfId="0" applyFont="1" applyAlignment="1">
      <alignment horizontal="center"/>
    </xf>
    <xf numFmtId="175" fontId="24" fillId="0" borderId="0" xfId="0" applyNumberFormat="1" applyFont="1" applyAlignment="1">
      <alignment horizontal="center"/>
    </xf>
    <xf numFmtId="175" fontId="24" fillId="0" borderId="12" xfId="0" applyNumberFormat="1" applyFont="1" applyBorder="1" applyAlignment="1">
      <alignment horizontal="center"/>
    </xf>
    <xf numFmtId="175" fontId="24" fillId="0" borderId="14" xfId="0" applyNumberFormat="1" applyFont="1" applyBorder="1" applyAlignment="1">
      <alignment horizontal="center"/>
    </xf>
    <xf numFmtId="175" fontId="24" fillId="0" borderId="15" xfId="0" applyNumberFormat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24" fillId="0" borderId="14" xfId="1" applyFont="1" applyBorder="1" applyAlignment="1">
      <alignment horizontal="center"/>
    </xf>
    <xf numFmtId="172" fontId="25" fillId="0" borderId="0" xfId="0" applyNumberFormat="1" applyFont="1"/>
    <xf numFmtId="174" fontId="19" fillId="0" borderId="14" xfId="0" applyNumberFormat="1" applyFont="1" applyBorder="1" applyAlignment="1">
      <alignment horizontal="center"/>
    </xf>
    <xf numFmtId="174" fontId="4" fillId="0" borderId="0" xfId="0" applyNumberFormat="1" applyFont="1"/>
    <xf numFmtId="174" fontId="4" fillId="0" borderId="10" xfId="0" applyNumberFormat="1" applyFont="1" applyBorder="1"/>
    <xf numFmtId="174" fontId="0" fillId="0" borderId="0" xfId="0" applyNumberFormat="1"/>
    <xf numFmtId="174" fontId="4" fillId="0" borderId="5" xfId="0" applyNumberFormat="1" applyFont="1" applyBorder="1"/>
    <xf numFmtId="176" fontId="19" fillId="0" borderId="14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12" xfId="0" applyFont="1" applyBorder="1"/>
    <xf numFmtId="0" fontId="20" fillId="0" borderId="15" xfId="0" applyFont="1" applyBorder="1"/>
    <xf numFmtId="164" fontId="2" fillId="0" borderId="14" xfId="0" applyNumberFormat="1" applyFont="1" applyBorder="1" applyAlignment="1">
      <alignment horizontal="center"/>
    </xf>
    <xf numFmtId="177" fontId="4" fillId="0" borderId="0" xfId="0" applyNumberFormat="1" applyFont="1"/>
    <xf numFmtId="0" fontId="35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9" fontId="24" fillId="0" borderId="21" xfId="0" applyNumberFormat="1" applyFont="1" applyBorder="1" applyAlignment="1">
      <alignment horizontal="center"/>
    </xf>
    <xf numFmtId="0" fontId="20" fillId="0" borderId="6" xfId="0" applyFont="1" applyBorder="1"/>
    <xf numFmtId="0" fontId="2" fillId="0" borderId="8" xfId="0" applyFont="1" applyBorder="1" applyAlignment="1">
      <alignment horizontal="center"/>
    </xf>
    <xf numFmtId="0" fontId="20" fillId="0" borderId="11" xfId="0" applyFont="1" applyBorder="1"/>
    <xf numFmtId="0" fontId="36" fillId="0" borderId="14" xfId="0" applyFont="1" applyBorder="1" applyAlignment="1">
      <alignment horizontal="center"/>
    </xf>
    <xf numFmtId="173" fontId="25" fillId="0" borderId="0" xfId="0" applyNumberFormat="1" applyFont="1"/>
    <xf numFmtId="9" fontId="37" fillId="0" borderId="14" xfId="1" applyFont="1" applyBorder="1" applyAlignment="1">
      <alignment horizontal="center"/>
    </xf>
    <xf numFmtId="9" fontId="24" fillId="0" borderId="15" xfId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70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9" fontId="25" fillId="0" borderId="11" xfId="0" applyNumberFormat="1" applyFont="1" applyBorder="1" applyAlignment="1">
      <alignment horizontal="center"/>
    </xf>
    <xf numFmtId="0" fontId="25" fillId="0" borderId="10" xfId="0" applyFont="1" applyBorder="1"/>
    <xf numFmtId="9" fontId="25" fillId="0" borderId="11" xfId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167" fontId="25" fillId="0" borderId="0" xfId="0" applyNumberFormat="1" applyFont="1" applyAlignment="1">
      <alignment horizontal="center"/>
    </xf>
    <xf numFmtId="167" fontId="25" fillId="0" borderId="10" xfId="0" applyNumberFormat="1" applyFont="1" applyBorder="1" applyAlignment="1">
      <alignment horizontal="center"/>
    </xf>
    <xf numFmtId="3" fontId="25" fillId="0" borderId="11" xfId="0" applyNumberFormat="1" applyFont="1" applyBorder="1" applyAlignment="1">
      <alignment horizontal="center"/>
    </xf>
    <xf numFmtId="9" fontId="38" fillId="0" borderId="8" xfId="0" applyNumberFormat="1" applyFont="1" applyBorder="1" applyAlignment="1">
      <alignment horizontal="center"/>
    </xf>
    <xf numFmtId="9" fontId="38" fillId="0" borderId="8" xfId="1" applyFont="1" applyBorder="1" applyAlignment="1">
      <alignment horizontal="center"/>
    </xf>
    <xf numFmtId="9" fontId="38" fillId="0" borderId="0" xfId="0" applyNumberFormat="1" applyFont="1" applyAlignment="1">
      <alignment horizontal="center"/>
    </xf>
    <xf numFmtId="170" fontId="38" fillId="0" borderId="0" xfId="0" applyNumberFormat="1" applyFont="1" applyAlignment="1">
      <alignment horizontal="center"/>
    </xf>
    <xf numFmtId="170" fontId="38" fillId="0" borderId="10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1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4" fontId="25" fillId="0" borderId="0" xfId="0" applyNumberFormat="1" applyFont="1" applyAlignment="1">
      <alignment horizontal="center"/>
    </xf>
    <xf numFmtId="4" fontId="25" fillId="0" borderId="10" xfId="0" applyNumberFormat="1" applyFont="1" applyBorder="1" applyAlignment="1">
      <alignment horizontal="center"/>
    </xf>
    <xf numFmtId="0" fontId="28" fillId="0" borderId="12" xfId="0" applyFont="1" applyBorder="1"/>
    <xf numFmtId="177" fontId="0" fillId="0" borderId="0" xfId="0" applyNumberFormat="1" applyAlignment="1">
      <alignment horizontal="center"/>
    </xf>
    <xf numFmtId="0" fontId="41" fillId="0" borderId="14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/>
    <xf numFmtId="2" fontId="0" fillId="0" borderId="8" xfId="0" applyNumberForma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24" fillId="0" borderId="3" xfId="0" applyFont="1" applyBorder="1"/>
    <xf numFmtId="0" fontId="25" fillId="0" borderId="0" xfId="0" applyFont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2" xfId="0" applyFont="1" applyBorder="1" applyAlignment="1">
      <alignment vertical="center" wrapText="1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36" fillId="0" borderId="1" xfId="0" applyFont="1" applyBorder="1"/>
    <xf numFmtId="0" fontId="36" fillId="0" borderId="22" xfId="0" applyFont="1" applyBorder="1"/>
    <xf numFmtId="165" fontId="0" fillId="0" borderId="0" xfId="0" applyNumberFormat="1"/>
    <xf numFmtId="9" fontId="19" fillId="0" borderId="14" xfId="1" applyFont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0" borderId="0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6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styles" Target="styles.xml"/><Relationship Id="rId10" Type="http://schemas.openxmlformats.org/officeDocument/2006/relationships/chartsheet" Target="chartsheets/sheet4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/>
              <a:t>SECAP  -  EBITDA, EBIT et Investissements</a:t>
            </a:r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EBITDA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financière'!$B$12:$F$12</c:f>
              <c:numCache>
                <c:formatCode>0.0%</c:formatCode>
                <c:ptCount val="5"/>
                <c:pt idx="0">
                  <c:v>0.27822580645161288</c:v>
                </c:pt>
                <c:pt idx="1">
                  <c:v>0.30917931688804562</c:v>
                </c:pt>
                <c:pt idx="2">
                  <c:v>0.34146911272870362</c:v>
                </c:pt>
                <c:pt idx="3">
                  <c:v>0.34515239120987101</c:v>
                </c:pt>
                <c:pt idx="4">
                  <c:v>0.33444439603212639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14-5047-9E01-ECCB5B93796E}"/>
            </c:ext>
          </c:extLst>
        </c:ser>
        <c:ser>
          <c:idx val="2"/>
          <c:order val="1"/>
          <c:tx>
            <c:v>EBIT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financière'!$B$16:$F$16</c:f>
              <c:numCache>
                <c:formatCode>0.0%</c:formatCode>
                <c:ptCount val="5"/>
                <c:pt idx="0">
                  <c:v>0.125</c:v>
                </c:pt>
                <c:pt idx="1">
                  <c:v>0.1474146110056927</c:v>
                </c:pt>
                <c:pt idx="2">
                  <c:v>0.16421158764509156</c:v>
                </c:pt>
                <c:pt idx="3">
                  <c:v>0.17848572454320435</c:v>
                </c:pt>
                <c:pt idx="4">
                  <c:v>0.18020275078791045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14-5047-9E01-ECCB5B93796E}"/>
            </c:ext>
          </c:extLst>
        </c:ser>
        <c:ser>
          <c:idx val="1"/>
          <c:order val="2"/>
          <c:tx>
            <c:v>Investissements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'Analyse financière'!$C$5:$F$5</c:f>
              <c:numCache>
                <c:formatCode>General</c:formatCode>
                <c:ptCount val="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</c:numCache>
            </c:numRef>
          </c:xVal>
          <c:yVal>
            <c:numRef>
              <c:f>'Analyse financière'!$C$36:$F$36</c:f>
              <c:numCache>
                <c:formatCode>0%</c:formatCode>
                <c:ptCount val="4"/>
                <c:pt idx="0">
                  <c:v>0.2610294117647059</c:v>
                </c:pt>
                <c:pt idx="1">
                  <c:v>0.22073578595317725</c:v>
                </c:pt>
                <c:pt idx="2">
                  <c:v>0.20903954802259886</c:v>
                </c:pt>
                <c:pt idx="3">
                  <c:v>0.19280205655526991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4-5047-9E01-ECCB5B93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023808"/>
        <c:axId val="1916044272"/>
      </c:scatterChart>
      <c:valAx>
        <c:axId val="1916023808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6044272"/>
        <c:crosses val="autoZero"/>
        <c:crossBetween val="midCat"/>
        <c:majorUnit val="1"/>
      </c:valAx>
      <c:valAx>
        <c:axId val="191604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602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/>
              <a:t>SECAP  -  Cycle de Conversion du Cash</a:t>
            </a:r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Stocks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financière'!$B$26:$F$26</c:f>
              <c:numCache>
                <c:formatCode>#,##0</c:formatCode>
                <c:ptCount val="5"/>
                <c:pt idx="0">
                  <c:v>16.18951612903226</c:v>
                </c:pt>
                <c:pt idx="1">
                  <c:v>17.444852941176471</c:v>
                </c:pt>
                <c:pt idx="2">
                  <c:v>52.491638795986624</c:v>
                </c:pt>
                <c:pt idx="3">
                  <c:v>45.367231638418076</c:v>
                </c:pt>
                <c:pt idx="4">
                  <c:v>39.408740359897173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2F-CE49-8EC7-1D55CBF42777}"/>
            </c:ext>
          </c:extLst>
        </c:ser>
        <c:ser>
          <c:idx val="1"/>
          <c:order val="1"/>
          <c:tx>
            <c:v>Clients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financière'!$B$28:$F$28</c:f>
              <c:numCache>
                <c:formatCode>#,##0</c:formatCode>
                <c:ptCount val="5"/>
                <c:pt idx="0">
                  <c:v>83.891129032258064</c:v>
                </c:pt>
                <c:pt idx="1">
                  <c:v>69.779411764705884</c:v>
                </c:pt>
                <c:pt idx="2">
                  <c:v>75.685618729096987</c:v>
                </c:pt>
                <c:pt idx="3">
                  <c:v>69.081920903954796</c:v>
                </c:pt>
                <c:pt idx="4">
                  <c:v>68.496143958868899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2F-CE49-8EC7-1D55CBF42777}"/>
            </c:ext>
          </c:extLst>
        </c:ser>
        <c:ser>
          <c:idx val="2"/>
          <c:order val="2"/>
          <c:tx>
            <c:v>Fournisseurs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financière'!$B$30:$F$30</c:f>
              <c:numCache>
                <c:formatCode>#,##0;\(#,##0\)</c:formatCode>
                <c:ptCount val="5"/>
                <c:pt idx="0">
                  <c:v>16.18951612903226</c:v>
                </c:pt>
                <c:pt idx="1">
                  <c:v>26.838235294117649</c:v>
                </c:pt>
                <c:pt idx="2">
                  <c:v>35.401337792642138</c:v>
                </c:pt>
                <c:pt idx="3">
                  <c:v>32.994350282485875</c:v>
                </c:pt>
                <c:pt idx="4">
                  <c:v>32.840616966580974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2F-CE49-8EC7-1D55CBF42777}"/>
            </c:ext>
          </c:extLst>
        </c:ser>
        <c:ser>
          <c:idx val="3"/>
          <c:order val="3"/>
          <c:tx>
            <c:v>Produits constatés d'avance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financière'!$B$32:$F$32</c:f>
              <c:numCache>
                <c:formatCode>#,##0;\(#,##0\)</c:formatCode>
                <c:ptCount val="5"/>
                <c:pt idx="0">
                  <c:v>110.38306451612904</c:v>
                </c:pt>
                <c:pt idx="1">
                  <c:v>104.66911764705883</c:v>
                </c:pt>
                <c:pt idx="2">
                  <c:v>107.4247491638796</c:v>
                </c:pt>
                <c:pt idx="3">
                  <c:v>94.858757062146893</c:v>
                </c:pt>
                <c:pt idx="4">
                  <c:v>93.830334190231369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2F-CE49-8EC7-1D55CBF42777}"/>
            </c:ext>
          </c:extLst>
        </c:ser>
        <c:ser>
          <c:idx val="4"/>
          <c:order val="4"/>
          <c:tx>
            <c:v>CCC</c:v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38100">
                <a:solidFill>
                  <a:srgbClr val="7030A0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financière'!$B$34:$F$34</c:f>
              <c:numCache>
                <c:formatCode>#,##0;\(#,##0\)</c:formatCode>
                <c:ptCount val="5"/>
                <c:pt idx="0">
                  <c:v>-26.491935483870975</c:v>
                </c:pt>
                <c:pt idx="1">
                  <c:v>-44.283088235294116</c:v>
                </c:pt>
                <c:pt idx="2">
                  <c:v>-14.648829431438145</c:v>
                </c:pt>
                <c:pt idx="3">
                  <c:v>-13.403954802259904</c:v>
                </c:pt>
                <c:pt idx="4">
                  <c:v>-18.766066838046271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2F-CE49-8EC7-1D55CBF4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036448"/>
        <c:axId val="1587217664"/>
      </c:scatterChart>
      <c:valAx>
        <c:axId val="1587036448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217664"/>
        <c:crosses val="autoZero"/>
        <c:crossBetween val="midCat"/>
        <c:majorUnit val="1"/>
      </c:valAx>
      <c:valAx>
        <c:axId val="15872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0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</a:t>
            </a:r>
            <a:r>
              <a:rPr lang="fr-FR" sz="3600">
                <a:solidFill>
                  <a:schemeClr val="accent1"/>
                </a:solidFill>
              </a:rPr>
              <a:t>ROCE</a:t>
            </a:r>
            <a:r>
              <a:rPr lang="fr-FR" sz="3600"/>
              <a:t> = </a:t>
            </a:r>
            <a:r>
              <a:rPr lang="fr-FR" sz="3600">
                <a:solidFill>
                  <a:schemeClr val="accent2"/>
                </a:solidFill>
              </a:rPr>
              <a:t>ROS</a:t>
            </a:r>
            <a:r>
              <a:rPr lang="fr-FR" sz="3600"/>
              <a:t> * </a:t>
            </a:r>
            <a:r>
              <a:rPr lang="fr-FR" sz="3600">
                <a:solidFill>
                  <a:srgbClr val="00B050"/>
                </a:solidFill>
              </a:rPr>
              <a:t>ATO</a:t>
            </a:r>
          </a:p>
        </c:rich>
      </c:tx>
      <c:overlay val="0"/>
      <c:spPr>
        <a:noFill/>
        <a:ln w="254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financière'!$B$42:$F$42</c:f>
              <c:numCache>
                <c:formatCode>0%</c:formatCode>
                <c:ptCount val="5"/>
                <c:pt idx="0">
                  <c:v>0.63265306122448983</c:v>
                </c:pt>
                <c:pt idx="1">
                  <c:v>0.89103942652329804</c:v>
                </c:pt>
                <c:pt idx="2">
                  <c:v>0.76717601102941213</c:v>
                </c:pt>
                <c:pt idx="3">
                  <c:v>0.91570936939557013</c:v>
                </c:pt>
                <c:pt idx="4">
                  <c:v>0.9472820277905023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10-2743-8753-0A8D308EA62E}"/>
            </c:ext>
          </c:extLst>
        </c:ser>
        <c:ser>
          <c:idx val="1"/>
          <c:order val="1"/>
          <c:tx>
            <c:v>ROS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financière'!$B$16:$F$16</c:f>
              <c:numCache>
                <c:formatCode>0.0%</c:formatCode>
                <c:ptCount val="5"/>
                <c:pt idx="0">
                  <c:v>0.125</c:v>
                </c:pt>
                <c:pt idx="1">
                  <c:v>0.1474146110056927</c:v>
                </c:pt>
                <c:pt idx="2">
                  <c:v>0.16421158764509156</c:v>
                </c:pt>
                <c:pt idx="3">
                  <c:v>0.17848572454320435</c:v>
                </c:pt>
                <c:pt idx="4">
                  <c:v>0.18020275078791045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10-2743-8753-0A8D308E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467856"/>
        <c:axId val="1587469856"/>
      </c:scatterChart>
      <c:scatterChart>
        <c:scatterStyle val="lineMarker"/>
        <c:varyColors val="0"/>
        <c:ser>
          <c:idx val="2"/>
          <c:order val="2"/>
          <c:tx>
            <c:v>ATO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'Analyse financière'!$B$5:$F$5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'Analyse financière'!$B$40:$F$40</c:f>
              <c:numCache>
                <c:formatCode>#,##0.00;\(#,##0.00\)</c:formatCode>
                <c:ptCount val="5"/>
                <c:pt idx="0">
                  <c:v>5.0612244897959187</c:v>
                </c:pt>
                <c:pt idx="1">
                  <c:v>6.0444444444444443</c:v>
                </c:pt>
                <c:pt idx="2">
                  <c:v>4.671875</c:v>
                </c:pt>
                <c:pt idx="3">
                  <c:v>5.1304347826086953</c:v>
                </c:pt>
                <c:pt idx="4">
                  <c:v>5.256756756756757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10-2743-8753-0A8D308E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205903"/>
        <c:axId val="1341253135"/>
      </c:scatterChart>
      <c:valAx>
        <c:axId val="1587467856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469856"/>
        <c:crosses val="autoZero"/>
        <c:crossBetween val="midCat"/>
        <c:majorUnit val="1"/>
      </c:valAx>
      <c:valAx>
        <c:axId val="15874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467856"/>
        <c:crosses val="autoZero"/>
        <c:crossBetween val="midCat"/>
        <c:majorUnit val="0.2"/>
      </c:valAx>
      <c:valAx>
        <c:axId val="1341253135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205903"/>
        <c:crosses val="max"/>
        <c:crossBetween val="midCat"/>
      </c:valAx>
      <c:valAx>
        <c:axId val="134120590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341253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Prévisions </a:t>
            </a:r>
          </a:p>
        </c:rich>
      </c:tx>
      <c:overlay val="0"/>
      <c:spPr>
        <a:noFill/>
        <a:ln w="2857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EBITDA (%)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'Prévision P&amp;L &amp; CF'!$B$6:$L$6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'Prévision P&amp;L &amp; CF'!$B$16:$L$16</c:f>
              <c:numCache>
                <c:formatCode>0.0%</c:formatCode>
                <c:ptCount val="11"/>
                <c:pt idx="0">
                  <c:v>0.33161953727506427</c:v>
                </c:pt>
                <c:pt idx="1">
                  <c:v>0.32310558713237891</c:v>
                </c:pt>
                <c:pt idx="2">
                  <c:v>0.31518254992899153</c:v>
                </c:pt>
                <c:pt idx="3">
                  <c:v>0.31052467973299658</c:v>
                </c:pt>
                <c:pt idx="4">
                  <c:v>0.30466223966668315</c:v>
                </c:pt>
                <c:pt idx="5">
                  <c:v>0.31628795924992359</c:v>
                </c:pt>
                <c:pt idx="6">
                  <c:v>0.29760828998491307</c:v>
                </c:pt>
                <c:pt idx="7">
                  <c:v>0.29157071458195344</c:v>
                </c:pt>
                <c:pt idx="8">
                  <c:v>0.28766666695893928</c:v>
                </c:pt>
                <c:pt idx="9">
                  <c:v>0.28288815089649844</c:v>
                </c:pt>
                <c:pt idx="10">
                  <c:v>0.28145593210276038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8A-574A-BBE8-28411ABE8ADF}"/>
            </c:ext>
          </c:extLst>
        </c:ser>
        <c:ser>
          <c:idx val="2"/>
          <c:order val="2"/>
          <c:tx>
            <c:v>Investissements (%)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'Prévision P&amp;L &amp; CF'!$B$6:$L$6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'Prévision P&amp;L &amp; CF'!$B$41:$L$41</c:f>
              <c:numCache>
                <c:formatCode>0%</c:formatCode>
                <c:ptCount val="11"/>
                <c:pt idx="0">
                  <c:v>0.19280205655526991</c:v>
                </c:pt>
                <c:pt idx="1">
                  <c:v>0.23112662437206666</c:v>
                </c:pt>
                <c:pt idx="2">
                  <c:v>0.15650443858543028</c:v>
                </c:pt>
                <c:pt idx="3">
                  <c:v>0.13222341201534049</c:v>
                </c:pt>
                <c:pt idx="4">
                  <c:v>0.12555777149899669</c:v>
                </c:pt>
                <c:pt idx="5">
                  <c:v>0.11967652512159271</c:v>
                </c:pt>
                <c:pt idx="6">
                  <c:v>0.11397764297294542</c:v>
                </c:pt>
                <c:pt idx="7">
                  <c:v>0.10897087312658865</c:v>
                </c:pt>
                <c:pt idx="8">
                  <c:v>0.1054777778849444</c:v>
                </c:pt>
                <c:pt idx="9">
                  <c:v>0.10066740504875395</c:v>
                </c:pt>
                <c:pt idx="10">
                  <c:v>9.6193799579424422E-2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A-574A-BBE8-28411ABE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169712"/>
        <c:axId val="1774171440"/>
      </c:scatterChart>
      <c:scatterChart>
        <c:scatterStyle val="lineMarker"/>
        <c:varyColors val="0"/>
        <c:ser>
          <c:idx val="0"/>
          <c:order val="0"/>
          <c:tx>
            <c:v>Ventes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'Prévision P&amp;L &amp; CF'!$B$6:$L$6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'Prévision P&amp;L &amp; CF'!$B$9:$L$9</c:f>
              <c:numCache>
                <c:formatCode>#,##0\ ;\(#,##0\)\ </c:formatCode>
                <c:ptCount val="11"/>
                <c:pt idx="0">
                  <c:v>389</c:v>
                </c:pt>
                <c:pt idx="1">
                  <c:v>424.01000000000005</c:v>
                </c:pt>
                <c:pt idx="2">
                  <c:v>460.05085000000003</c:v>
                </c:pt>
                <c:pt idx="3">
                  <c:v>499.15517225000002</c:v>
                </c:pt>
                <c:pt idx="4">
                  <c:v>541.58336189124998</c:v>
                </c:pt>
                <c:pt idx="5">
                  <c:v>584.91003084254999</c:v>
                </c:pt>
                <c:pt idx="6">
                  <c:v>631.70283330995403</c:v>
                </c:pt>
                <c:pt idx="7">
                  <c:v>679.08054580820055</c:v>
                </c:pt>
                <c:pt idx="8">
                  <c:v>730.01158674381554</c:v>
                </c:pt>
                <c:pt idx="9">
                  <c:v>784.76245574960171</c:v>
                </c:pt>
                <c:pt idx="10">
                  <c:v>842.05011501932256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8A-574A-BBE8-28411ABE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531119"/>
        <c:axId val="291457616"/>
      </c:scatterChart>
      <c:valAx>
        <c:axId val="1774169712"/>
        <c:scaling>
          <c:orientation val="minMax"/>
          <c:max val="1999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71440"/>
        <c:crosses val="autoZero"/>
        <c:crossBetween val="midCat"/>
        <c:majorUnit val="2"/>
      </c:valAx>
      <c:valAx>
        <c:axId val="17741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69712"/>
        <c:crosses val="autoZero"/>
        <c:crossBetween val="midCat"/>
      </c:valAx>
      <c:valAx>
        <c:axId val="291457616"/>
        <c:scaling>
          <c:orientation val="minMax"/>
        </c:scaling>
        <c:delete val="0"/>
        <c:axPos val="r"/>
        <c:numFmt formatCode="#,##0\ ;\(#,##0\)\ " sourceLinked="1"/>
        <c:majorTickMark val="out"/>
        <c:minorTickMark val="none"/>
        <c:tickLblPos val="nextTo"/>
        <c:spPr>
          <a:noFill/>
          <a:ln w="2857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531119"/>
        <c:crosses val="max"/>
        <c:crossBetween val="midCat"/>
      </c:valAx>
      <c:valAx>
        <c:axId val="13415311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145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Prévisions </a:t>
            </a:r>
          </a:p>
        </c:rich>
      </c:tx>
      <c:overlay val="0"/>
      <c:spPr>
        <a:noFill/>
        <a:ln w="2857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'Prévision P&amp;L &amp; CF'!$B$6:$L$6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'Prévision P&amp;L &amp; CF'!$B$9:$L$9</c:f>
              <c:numCache>
                <c:formatCode>#,##0\ ;\(#,##0\)\ </c:formatCode>
                <c:ptCount val="11"/>
                <c:pt idx="0">
                  <c:v>389</c:v>
                </c:pt>
                <c:pt idx="1">
                  <c:v>424.01000000000005</c:v>
                </c:pt>
                <c:pt idx="2">
                  <c:v>460.05085000000003</c:v>
                </c:pt>
                <c:pt idx="3">
                  <c:v>499.15517225000002</c:v>
                </c:pt>
                <c:pt idx="4">
                  <c:v>541.58336189124998</c:v>
                </c:pt>
                <c:pt idx="5">
                  <c:v>584.91003084254999</c:v>
                </c:pt>
                <c:pt idx="6">
                  <c:v>631.70283330995403</c:v>
                </c:pt>
                <c:pt idx="7">
                  <c:v>679.08054580820055</c:v>
                </c:pt>
                <c:pt idx="8">
                  <c:v>730.01158674381554</c:v>
                </c:pt>
                <c:pt idx="9">
                  <c:v>784.76245574960171</c:v>
                </c:pt>
                <c:pt idx="10">
                  <c:v>842.05011501932256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F4-4349-A22F-66366BD50639}"/>
            </c:ext>
          </c:extLst>
        </c:ser>
        <c:ser>
          <c:idx val="1"/>
          <c:order val="1"/>
          <c:tx>
            <c:v>Capitaux Engagés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'Prévision P&amp;L &amp; CF'!$B$6:$L$6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'Prévision Bilan'!$B$55:$L$55</c:f>
              <c:numCache>
                <c:formatCode>#,##0\ ;\(#,##0\)\ </c:formatCode>
                <c:ptCount val="11"/>
                <c:pt idx="0">
                  <c:v>74</c:v>
                </c:pt>
                <c:pt idx="1">
                  <c:v>91.316779999999994</c:v>
                </c:pt>
                <c:pt idx="2">
                  <c:v>70.561206299999981</c:v>
                </c:pt>
                <c:pt idx="3">
                  <c:v>53.904658835500015</c:v>
                </c:pt>
                <c:pt idx="4">
                  <c:v>41.911079836517558</c:v>
                </c:pt>
                <c:pt idx="5">
                  <c:v>31.03145622343888</c:v>
                </c:pt>
                <c:pt idx="6">
                  <c:v>20.435215721314052</c:v>
                </c:pt>
                <c:pt idx="7">
                  <c:v>10.359505025412602</c:v>
                </c:pt>
                <c:pt idx="8">
                  <c:v>1.0981215898185042</c:v>
                </c:pt>
                <c:pt idx="9">
                  <c:v>-9.126361709695118</c:v>
                </c:pt>
                <c:pt idx="10">
                  <c:v>-19.701030262597811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F4-4349-A22F-66366BD5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169712"/>
        <c:axId val="1774171440"/>
      </c:scatterChart>
      <c:valAx>
        <c:axId val="1774169712"/>
        <c:scaling>
          <c:orientation val="minMax"/>
          <c:max val="1999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71440"/>
        <c:crosses val="autoZero"/>
        <c:crossBetween val="midCat"/>
        <c:majorUnit val="2"/>
      </c:valAx>
      <c:valAx>
        <c:axId val="177417144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69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/>
              <a:t>Taux</a:t>
            </a:r>
            <a:r>
              <a:rPr lang="fr-FR" sz="3200" baseline="0"/>
              <a:t>  -  France</a:t>
            </a:r>
            <a:endParaRPr lang="fr-FR" sz="3200"/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Intérêt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Taux!$A$5:$A$47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Taux!$B$5:$B$47</c:f>
              <c:numCache>
                <c:formatCode>#,##0.000</c:formatCode>
                <c:ptCount val="43"/>
                <c:pt idx="0">
                  <c:v>13.78417</c:v>
                </c:pt>
                <c:pt idx="1">
                  <c:v>16.29167</c:v>
                </c:pt>
                <c:pt idx="2">
                  <c:v>15.9975</c:v>
                </c:pt>
                <c:pt idx="3">
                  <c:v>14.36833</c:v>
                </c:pt>
                <c:pt idx="4">
                  <c:v>13.404170000000001</c:v>
                </c:pt>
                <c:pt idx="5">
                  <c:v>11.866669999999999</c:v>
                </c:pt>
                <c:pt idx="6">
                  <c:v>9.1191659999999999</c:v>
                </c:pt>
                <c:pt idx="7">
                  <c:v>9.4786330000000003</c:v>
                </c:pt>
                <c:pt idx="8">
                  <c:v>9.0840499999999995</c:v>
                </c:pt>
                <c:pt idx="9">
                  <c:v>8.7960589999999996</c:v>
                </c:pt>
                <c:pt idx="10">
                  <c:v>9.9321169999999999</c:v>
                </c:pt>
                <c:pt idx="11">
                  <c:v>9.0383420000000001</c:v>
                </c:pt>
                <c:pt idx="12">
                  <c:v>8.5878750000000004</c:v>
                </c:pt>
                <c:pt idx="13">
                  <c:v>6.7750000000000004</c:v>
                </c:pt>
                <c:pt idx="14">
                  <c:v>7.2137919999999998</c:v>
                </c:pt>
                <c:pt idx="15">
                  <c:v>7.5349750000000002</c:v>
                </c:pt>
                <c:pt idx="16">
                  <c:v>6.3121419999999997</c:v>
                </c:pt>
                <c:pt idx="17">
                  <c:v>5.5825089999999999</c:v>
                </c:pt>
                <c:pt idx="18">
                  <c:v>4.6402080000000003</c:v>
                </c:pt>
                <c:pt idx="19">
                  <c:v>4.6087829999999999</c:v>
                </c:pt>
                <c:pt idx="20">
                  <c:v>5.3944669999999997</c:v>
                </c:pt>
                <c:pt idx="21">
                  <c:v>4.9394580000000001</c:v>
                </c:pt>
                <c:pt idx="22">
                  <c:v>4.8612169999999999</c:v>
                </c:pt>
                <c:pt idx="23">
                  <c:v>4.1308920000000002</c:v>
                </c:pt>
                <c:pt idx="24">
                  <c:v>4.0991669999999996</c:v>
                </c:pt>
                <c:pt idx="25">
                  <c:v>3.4094419999999999</c:v>
                </c:pt>
                <c:pt idx="26">
                  <c:v>3.7957420000000002</c:v>
                </c:pt>
                <c:pt idx="27">
                  <c:v>4.3032000000000004</c:v>
                </c:pt>
                <c:pt idx="28">
                  <c:v>4.2343250000000001</c:v>
                </c:pt>
                <c:pt idx="29">
                  <c:v>3.6488170000000002</c:v>
                </c:pt>
                <c:pt idx="30">
                  <c:v>3.1170170000000001</c:v>
                </c:pt>
                <c:pt idx="31">
                  <c:v>3.3210579999999998</c:v>
                </c:pt>
                <c:pt idx="32">
                  <c:v>2.5359919999999998</c:v>
                </c:pt>
                <c:pt idx="33">
                  <c:v>2.2043499999999998</c:v>
                </c:pt>
                <c:pt idx="34">
                  <c:v>1.666442</c:v>
                </c:pt>
                <c:pt idx="35">
                  <c:v>0.84185829999999995</c:v>
                </c:pt>
                <c:pt idx="36">
                  <c:v>0.4678833</c:v>
                </c:pt>
                <c:pt idx="37">
                  <c:v>0.80985830000000003</c:v>
                </c:pt>
                <c:pt idx="38">
                  <c:v>0.78410829999999998</c:v>
                </c:pt>
                <c:pt idx="39">
                  <c:v>0.13020000000000001</c:v>
                </c:pt>
                <c:pt idx="40">
                  <c:v>-0.1452667</c:v>
                </c:pt>
                <c:pt idx="41">
                  <c:v>7.3666670000000004E-3</c:v>
                </c:pt>
                <c:pt idx="42">
                  <c:v>1.700833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42-8D4B-81F5-94B35A41CE08}"/>
            </c:ext>
          </c:extLst>
        </c:ser>
        <c:ser>
          <c:idx val="1"/>
          <c:order val="1"/>
          <c:tx>
            <c:v>Inflation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Taux!$A$5:$A$47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Taux!$C$5:$C$47</c:f>
              <c:numCache>
                <c:formatCode>#,##0.000</c:formatCode>
                <c:ptCount val="43"/>
                <c:pt idx="0">
                  <c:v>13.562580000000001</c:v>
                </c:pt>
                <c:pt idx="1">
                  <c:v>13.314399999999999</c:v>
                </c:pt>
                <c:pt idx="2">
                  <c:v>11.978479999999999</c:v>
                </c:pt>
                <c:pt idx="3">
                  <c:v>9.4595479999999998</c:v>
                </c:pt>
                <c:pt idx="4">
                  <c:v>7.6738030000000004</c:v>
                </c:pt>
                <c:pt idx="5">
                  <c:v>5.831099</c:v>
                </c:pt>
                <c:pt idx="6">
                  <c:v>2.5385270000000002</c:v>
                </c:pt>
                <c:pt idx="7">
                  <c:v>3.2888980000000001</c:v>
                </c:pt>
                <c:pt idx="8">
                  <c:v>2.7008169999999998</c:v>
                </c:pt>
                <c:pt idx="9">
                  <c:v>3.4983019999999998</c:v>
                </c:pt>
                <c:pt idx="10">
                  <c:v>3.1942819999999998</c:v>
                </c:pt>
                <c:pt idx="11">
                  <c:v>3.2134070000000001</c:v>
                </c:pt>
                <c:pt idx="12">
                  <c:v>2.3637600000000001</c:v>
                </c:pt>
                <c:pt idx="13">
                  <c:v>2.104463</c:v>
                </c:pt>
                <c:pt idx="14">
                  <c:v>1.6555150000000001</c:v>
                </c:pt>
                <c:pt idx="15">
                  <c:v>1.796481</c:v>
                </c:pt>
                <c:pt idx="16">
                  <c:v>1.9828840000000001</c:v>
                </c:pt>
                <c:pt idx="17">
                  <c:v>1.203943</c:v>
                </c:pt>
                <c:pt idx="18">
                  <c:v>0.65112689999999995</c:v>
                </c:pt>
                <c:pt idx="19">
                  <c:v>0.5371416</c:v>
                </c:pt>
                <c:pt idx="20">
                  <c:v>1.6759599999999999</c:v>
                </c:pt>
                <c:pt idx="21">
                  <c:v>1.634781</c:v>
                </c:pt>
                <c:pt idx="22">
                  <c:v>1.9234119999999999</c:v>
                </c:pt>
                <c:pt idx="23">
                  <c:v>2.0984720000000001</c:v>
                </c:pt>
                <c:pt idx="24">
                  <c:v>2.14209</c:v>
                </c:pt>
                <c:pt idx="25">
                  <c:v>1.7458689999999999</c:v>
                </c:pt>
                <c:pt idx="26">
                  <c:v>1.675125</c:v>
                </c:pt>
                <c:pt idx="27">
                  <c:v>1.4879979999999999</c:v>
                </c:pt>
                <c:pt idx="28">
                  <c:v>2.812862</c:v>
                </c:pt>
                <c:pt idx="29">
                  <c:v>8.7620480000000001E-2</c:v>
                </c:pt>
                <c:pt idx="30">
                  <c:v>1.531123</c:v>
                </c:pt>
                <c:pt idx="31">
                  <c:v>2.1115979999999999</c:v>
                </c:pt>
                <c:pt idx="32">
                  <c:v>1.9541949999999999</c:v>
                </c:pt>
                <c:pt idx="33">
                  <c:v>0.86371549999999997</c:v>
                </c:pt>
                <c:pt idx="34">
                  <c:v>0.50775879999999995</c:v>
                </c:pt>
                <c:pt idx="35">
                  <c:v>3.751438E-2</c:v>
                </c:pt>
                <c:pt idx="36">
                  <c:v>0.1833349</c:v>
                </c:pt>
                <c:pt idx="37">
                  <c:v>1.0322830000000001</c:v>
                </c:pt>
                <c:pt idx="38">
                  <c:v>1.8508150000000001</c:v>
                </c:pt>
                <c:pt idx="39">
                  <c:v>1.108255</c:v>
                </c:pt>
                <c:pt idx="40">
                  <c:v>0.4764988</c:v>
                </c:pt>
                <c:pt idx="41">
                  <c:v>1.642331</c:v>
                </c:pt>
                <c:pt idx="42">
                  <c:v>5.2223670000000002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42-8D4B-81F5-94B35A41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818336"/>
        <c:axId val="1530985360"/>
      </c:scatterChart>
      <c:valAx>
        <c:axId val="1531818336"/>
        <c:scaling>
          <c:orientation val="minMax"/>
          <c:max val="2022"/>
          <c:min val="19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_);\(#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0985360"/>
        <c:crosses val="autoZero"/>
        <c:crossBetween val="midCat"/>
      </c:valAx>
      <c:valAx>
        <c:axId val="15309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181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8B3363-2C0E-0B4F-88DF-9039B528FAB9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23F64A-7E31-FE46-B8EC-9B565A6733A2}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9CE22C-EDC9-8D4E-B5C4-A81EF6688C56}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4FCED5-C89C-D44F-BE54-351ED73E2203}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CD003F-AD23-1247-AF07-686B6AC9D7D2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00" cy="6070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911746-BEC2-64DA-DA14-922E0D9BA3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193" cy="606035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3372FF-5554-6010-9295-A0F2A79FC0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193" cy="606035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D95910F-B700-1CBF-780F-C789DBE74C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193" cy="606035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7E4006A-E4F8-FE25-0715-7163406500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193" cy="606035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2D08E0-55AE-56A5-110A-BAC8FBAB9C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4</xdr:row>
      <xdr:rowOff>12700</xdr:rowOff>
    </xdr:from>
    <xdr:to>
      <xdr:col>13</xdr:col>
      <xdr:colOff>457200</xdr:colOff>
      <xdr:row>31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F12C92C-7CA7-7708-6A0C-C9513484B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91C2-22EB-184B-9139-14FFFA16D77B}">
  <dimension ref="A2:B60"/>
  <sheetViews>
    <sheetView showGridLines="0" tabSelected="1" zoomScale="120" zoomScaleNormal="120" workbookViewId="0">
      <selection activeCell="A2" sqref="A2"/>
    </sheetView>
  </sheetViews>
  <sheetFormatPr baseColWidth="10" defaultRowHeight="18" x14ac:dyDescent="0.2"/>
  <cols>
    <col min="1" max="1" width="31.1640625" style="351" customWidth="1"/>
    <col min="2" max="2" width="83.1640625" style="351" customWidth="1"/>
    <col min="3" max="16384" width="10.83203125" style="168"/>
  </cols>
  <sheetData>
    <row r="2" spans="1:2" ht="23" x14ac:dyDescent="0.2">
      <c r="A2" s="358" t="s">
        <v>263</v>
      </c>
    </row>
    <row r="4" spans="1:2" x14ac:dyDescent="0.2">
      <c r="A4" s="352"/>
      <c r="B4" s="353"/>
    </row>
    <row r="5" spans="1:2" ht="19" x14ac:dyDescent="0.2">
      <c r="A5" s="354" t="s">
        <v>264</v>
      </c>
      <c r="B5" s="355" t="s">
        <v>283</v>
      </c>
    </row>
    <row r="6" spans="1:2" x14ac:dyDescent="0.2">
      <c r="A6" s="356"/>
      <c r="B6" s="357"/>
    </row>
    <row r="7" spans="1:2" x14ac:dyDescent="0.2">
      <c r="A7" s="352"/>
      <c r="B7" s="353"/>
    </row>
    <row r="8" spans="1:2" s="351" customFormat="1" ht="38" x14ac:dyDescent="0.15">
      <c r="A8" s="354" t="s">
        <v>265</v>
      </c>
      <c r="B8" s="355" t="s">
        <v>284</v>
      </c>
    </row>
    <row r="9" spans="1:2" x14ac:dyDescent="0.2">
      <c r="A9" s="356"/>
      <c r="B9" s="357"/>
    </row>
    <row r="10" spans="1:2" x14ac:dyDescent="0.2">
      <c r="A10" s="352"/>
      <c r="B10" s="353"/>
    </row>
    <row r="11" spans="1:2" ht="38" x14ac:dyDescent="0.2">
      <c r="A11" s="354" t="s">
        <v>268</v>
      </c>
      <c r="B11" s="355" t="s">
        <v>285</v>
      </c>
    </row>
    <row r="12" spans="1:2" x14ac:dyDescent="0.2">
      <c r="A12" s="356"/>
      <c r="B12" s="357"/>
    </row>
    <row r="13" spans="1:2" x14ac:dyDescent="0.2">
      <c r="A13" s="352"/>
      <c r="B13" s="353"/>
    </row>
    <row r="14" spans="1:2" ht="76" x14ac:dyDescent="0.2">
      <c r="A14" s="354" t="s">
        <v>266</v>
      </c>
      <c r="B14" s="355" t="s">
        <v>286</v>
      </c>
    </row>
    <row r="15" spans="1:2" x14ac:dyDescent="0.2">
      <c r="A15" s="356"/>
      <c r="B15" s="357"/>
    </row>
    <row r="16" spans="1:2" x14ac:dyDescent="0.2">
      <c r="A16" s="352"/>
      <c r="B16" s="353"/>
    </row>
    <row r="17" spans="1:2" ht="38" x14ac:dyDescent="0.2">
      <c r="A17" s="354" t="s">
        <v>267</v>
      </c>
      <c r="B17" s="355" t="s">
        <v>289</v>
      </c>
    </row>
    <row r="18" spans="1:2" x14ac:dyDescent="0.2">
      <c r="A18" s="356"/>
      <c r="B18" s="357"/>
    </row>
    <row r="19" spans="1:2" x14ac:dyDescent="0.2">
      <c r="A19" s="352"/>
      <c r="B19" s="353"/>
    </row>
    <row r="20" spans="1:2" ht="19" x14ac:dyDescent="0.2">
      <c r="A20" s="354" t="s">
        <v>269</v>
      </c>
      <c r="B20" s="355" t="s">
        <v>290</v>
      </c>
    </row>
    <row r="21" spans="1:2" x14ac:dyDescent="0.2">
      <c r="A21" s="356"/>
      <c r="B21" s="357"/>
    </row>
    <row r="22" spans="1:2" x14ac:dyDescent="0.2">
      <c r="A22" s="352"/>
      <c r="B22" s="353"/>
    </row>
    <row r="23" spans="1:2" ht="19" x14ac:dyDescent="0.2">
      <c r="A23" s="354" t="s">
        <v>270</v>
      </c>
      <c r="B23" s="355" t="s">
        <v>287</v>
      </c>
    </row>
    <row r="24" spans="1:2" x14ac:dyDescent="0.2">
      <c r="A24" s="356"/>
      <c r="B24" s="357"/>
    </row>
    <row r="25" spans="1:2" x14ac:dyDescent="0.2">
      <c r="A25" s="352"/>
      <c r="B25" s="353"/>
    </row>
    <row r="26" spans="1:2" ht="19" x14ac:dyDescent="0.2">
      <c r="A26" s="354" t="s">
        <v>271</v>
      </c>
      <c r="B26" s="355" t="s">
        <v>288</v>
      </c>
    </row>
    <row r="27" spans="1:2" x14ac:dyDescent="0.2">
      <c r="A27" s="356"/>
      <c r="B27" s="357"/>
    </row>
    <row r="28" spans="1:2" x14ac:dyDescent="0.2">
      <c r="A28" s="352"/>
      <c r="B28" s="353"/>
    </row>
    <row r="29" spans="1:2" ht="38" x14ac:dyDescent="0.2">
      <c r="A29" s="354" t="s">
        <v>272</v>
      </c>
      <c r="B29" s="355" t="s">
        <v>291</v>
      </c>
    </row>
    <row r="30" spans="1:2" x14ac:dyDescent="0.2">
      <c r="A30" s="356"/>
      <c r="B30" s="357"/>
    </row>
    <row r="31" spans="1:2" x14ac:dyDescent="0.2">
      <c r="A31" s="352"/>
      <c r="B31" s="353"/>
    </row>
    <row r="32" spans="1:2" ht="38" x14ac:dyDescent="0.2">
      <c r="A32" s="354" t="s">
        <v>273</v>
      </c>
      <c r="B32" s="355" t="s">
        <v>292</v>
      </c>
    </row>
    <row r="33" spans="1:2" x14ac:dyDescent="0.2">
      <c r="A33" s="356"/>
      <c r="B33" s="357"/>
    </row>
    <row r="34" spans="1:2" x14ac:dyDescent="0.2">
      <c r="A34" s="352"/>
      <c r="B34" s="353"/>
    </row>
    <row r="35" spans="1:2" ht="38" x14ac:dyDescent="0.2">
      <c r="A35" s="354" t="s">
        <v>274</v>
      </c>
      <c r="B35" s="355" t="s">
        <v>293</v>
      </c>
    </row>
    <row r="36" spans="1:2" x14ac:dyDescent="0.2">
      <c r="A36" s="356"/>
      <c r="B36" s="357"/>
    </row>
    <row r="37" spans="1:2" x14ac:dyDescent="0.2">
      <c r="A37" s="352"/>
      <c r="B37" s="353"/>
    </row>
    <row r="38" spans="1:2" ht="19" x14ac:dyDescent="0.2">
      <c r="A38" s="354" t="s">
        <v>275</v>
      </c>
      <c r="B38" s="355" t="s">
        <v>294</v>
      </c>
    </row>
    <row r="39" spans="1:2" x14ac:dyDescent="0.2">
      <c r="A39" s="356"/>
      <c r="B39" s="357"/>
    </row>
    <row r="40" spans="1:2" x14ac:dyDescent="0.2">
      <c r="A40" s="352"/>
      <c r="B40" s="353"/>
    </row>
    <row r="41" spans="1:2" ht="19" x14ac:dyDescent="0.2">
      <c r="A41" s="354" t="s">
        <v>276</v>
      </c>
      <c r="B41" s="355" t="s">
        <v>295</v>
      </c>
    </row>
    <row r="42" spans="1:2" x14ac:dyDescent="0.2">
      <c r="A42" s="356"/>
      <c r="B42" s="357"/>
    </row>
    <row r="43" spans="1:2" x14ac:dyDescent="0.2">
      <c r="A43" s="352"/>
      <c r="B43" s="353"/>
    </row>
    <row r="44" spans="1:2" ht="38" x14ac:dyDescent="0.2">
      <c r="A44" s="354" t="s">
        <v>277</v>
      </c>
      <c r="B44" s="355" t="s">
        <v>296</v>
      </c>
    </row>
    <row r="45" spans="1:2" x14ac:dyDescent="0.2">
      <c r="A45" s="356"/>
      <c r="B45" s="357"/>
    </row>
    <row r="46" spans="1:2" x14ac:dyDescent="0.2">
      <c r="A46" s="352"/>
      <c r="B46" s="353"/>
    </row>
    <row r="47" spans="1:2" ht="19" x14ac:dyDescent="0.2">
      <c r="A47" s="354" t="s">
        <v>278</v>
      </c>
      <c r="B47" s="355" t="s">
        <v>297</v>
      </c>
    </row>
    <row r="48" spans="1:2" x14ac:dyDescent="0.2">
      <c r="A48" s="356"/>
      <c r="B48" s="357"/>
    </row>
    <row r="49" spans="1:2" x14ac:dyDescent="0.2">
      <c r="A49" s="352"/>
      <c r="B49" s="353"/>
    </row>
    <row r="50" spans="1:2" ht="19" x14ac:dyDescent="0.2">
      <c r="A50" s="354" t="s">
        <v>279</v>
      </c>
      <c r="B50" s="355" t="s">
        <v>298</v>
      </c>
    </row>
    <row r="51" spans="1:2" x14ac:dyDescent="0.2">
      <c r="A51" s="356"/>
      <c r="B51" s="357"/>
    </row>
    <row r="52" spans="1:2" x14ac:dyDescent="0.2">
      <c r="A52" s="352"/>
      <c r="B52" s="353"/>
    </row>
    <row r="53" spans="1:2" ht="19" x14ac:dyDescent="0.2">
      <c r="A53" s="354" t="s">
        <v>280</v>
      </c>
      <c r="B53" s="355" t="s">
        <v>299</v>
      </c>
    </row>
    <row r="54" spans="1:2" x14ac:dyDescent="0.2">
      <c r="A54" s="356"/>
      <c r="B54" s="357"/>
    </row>
    <row r="55" spans="1:2" x14ac:dyDescent="0.2">
      <c r="A55" s="352"/>
      <c r="B55" s="353"/>
    </row>
    <row r="56" spans="1:2" ht="19" x14ac:dyDescent="0.2">
      <c r="A56" s="354" t="s">
        <v>281</v>
      </c>
      <c r="B56" s="355" t="s">
        <v>300</v>
      </c>
    </row>
    <row r="57" spans="1:2" x14ac:dyDescent="0.2">
      <c r="A57" s="356"/>
      <c r="B57" s="357"/>
    </row>
    <row r="58" spans="1:2" x14ac:dyDescent="0.2">
      <c r="A58" s="352"/>
      <c r="B58" s="353"/>
    </row>
    <row r="59" spans="1:2" ht="38" x14ac:dyDescent="0.2">
      <c r="A59" s="354" t="s">
        <v>282</v>
      </c>
      <c r="B59" s="355" t="s">
        <v>301</v>
      </c>
    </row>
    <row r="60" spans="1:2" x14ac:dyDescent="0.2">
      <c r="A60" s="356"/>
      <c r="B60" s="35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3"/>
  <sheetViews>
    <sheetView showGridLines="0" zoomScale="90" workbookViewId="0">
      <selection activeCell="A2" sqref="A2"/>
    </sheetView>
  </sheetViews>
  <sheetFormatPr baseColWidth="10" defaultRowHeight="13" x14ac:dyDescent="0.15"/>
  <cols>
    <col min="1" max="1" width="36.1640625" customWidth="1"/>
    <col min="3" max="3" width="6.5" customWidth="1"/>
    <col min="5" max="5" width="9.6640625" customWidth="1"/>
    <col min="10" max="10" width="26.33203125" customWidth="1"/>
  </cols>
  <sheetData>
    <row r="1" spans="1:12" ht="19" x14ac:dyDescent="0.25">
      <c r="A1" s="7"/>
      <c r="B1" s="80"/>
      <c r="C1" s="10"/>
      <c r="D1" s="10"/>
      <c r="E1" s="10"/>
      <c r="F1" s="10"/>
      <c r="G1" s="10"/>
      <c r="H1" s="10"/>
      <c r="I1" s="10"/>
      <c r="J1" s="10"/>
      <c r="K1" s="13"/>
      <c r="L1" s="6"/>
    </row>
    <row r="2" spans="1:12" ht="26" x14ac:dyDescent="0.3">
      <c r="A2" s="12" t="s">
        <v>32</v>
      </c>
      <c r="B2" s="23"/>
      <c r="C2" s="6"/>
      <c r="D2" s="6"/>
      <c r="E2" s="6"/>
      <c r="F2" s="82" t="s">
        <v>49</v>
      </c>
      <c r="G2" s="6"/>
      <c r="H2" s="6"/>
      <c r="I2" s="6"/>
      <c r="J2" s="6"/>
      <c r="K2" s="13"/>
      <c r="L2" s="6"/>
    </row>
    <row r="3" spans="1:12" ht="19" x14ac:dyDescent="0.25">
      <c r="A3" s="18"/>
      <c r="B3" s="33"/>
      <c r="C3" s="6"/>
      <c r="D3" s="6"/>
      <c r="E3" s="6"/>
      <c r="F3" s="6"/>
      <c r="G3" s="6"/>
      <c r="H3" s="6"/>
      <c r="I3" s="6"/>
      <c r="J3" s="6"/>
      <c r="K3" s="13"/>
      <c r="L3" s="6"/>
    </row>
    <row r="4" spans="1:12" ht="19" x14ac:dyDescent="0.25">
      <c r="A4" s="12"/>
      <c r="B4" s="6"/>
      <c r="C4" s="6"/>
      <c r="D4" s="6"/>
      <c r="E4" s="6"/>
      <c r="F4" s="6"/>
      <c r="G4" s="6"/>
      <c r="H4" s="6"/>
      <c r="I4" s="6"/>
      <c r="J4" s="6"/>
      <c r="K4" s="13"/>
      <c r="L4" s="6"/>
    </row>
    <row r="5" spans="1:12" ht="19" x14ac:dyDescent="0.25">
      <c r="A5" s="12" t="s">
        <v>39</v>
      </c>
      <c r="B5" s="83">
        <f>SUM(B8:B22)</f>
        <v>770</v>
      </c>
      <c r="C5" s="5" t="s">
        <v>33</v>
      </c>
      <c r="D5" s="339">
        <f>B5/6.55957</f>
        <v>117.385743272806</v>
      </c>
      <c r="E5" s="340" t="s">
        <v>247</v>
      </c>
      <c r="F5" s="6"/>
      <c r="G5" s="6"/>
      <c r="H5" s="6"/>
      <c r="I5" s="6"/>
      <c r="J5" s="6"/>
      <c r="K5" s="13"/>
      <c r="L5" s="6"/>
    </row>
    <row r="6" spans="1:12" ht="19" x14ac:dyDescent="0.25">
      <c r="A6" s="12"/>
      <c r="B6" s="6"/>
      <c r="C6" s="14"/>
      <c r="D6" s="6"/>
      <c r="E6" s="6"/>
      <c r="F6" s="6"/>
      <c r="G6" s="6"/>
      <c r="H6" s="6"/>
      <c r="I6" s="6"/>
      <c r="J6" s="6"/>
      <c r="K6" s="13"/>
      <c r="L6" s="6"/>
    </row>
    <row r="7" spans="1:12" ht="19" x14ac:dyDescent="0.25">
      <c r="A7" s="12"/>
      <c r="B7" s="6"/>
      <c r="C7" s="6"/>
      <c r="D7" s="6"/>
      <c r="E7" s="6"/>
      <c r="F7" s="6"/>
      <c r="G7" s="6"/>
      <c r="H7" s="6"/>
      <c r="I7" s="6"/>
      <c r="J7" s="6"/>
      <c r="K7" s="13"/>
      <c r="L7" s="6"/>
    </row>
    <row r="8" spans="1:12" ht="19" x14ac:dyDescent="0.25">
      <c r="A8" s="12" t="s">
        <v>40</v>
      </c>
      <c r="B8" s="14">
        <v>160</v>
      </c>
      <c r="C8" s="14" t="s">
        <v>33</v>
      </c>
      <c r="D8" s="14" t="s">
        <v>221</v>
      </c>
      <c r="E8" s="14"/>
      <c r="F8" s="14"/>
      <c r="G8" s="14"/>
      <c r="H8" s="14"/>
      <c r="I8" s="14"/>
      <c r="J8" s="6"/>
      <c r="K8" s="13"/>
      <c r="L8" s="6"/>
    </row>
    <row r="9" spans="1:12" ht="19" x14ac:dyDescent="0.25">
      <c r="A9" s="12"/>
      <c r="B9" s="14"/>
      <c r="C9" s="14"/>
      <c r="D9" s="14"/>
      <c r="E9" s="14"/>
      <c r="F9" s="14"/>
      <c r="G9" s="14"/>
      <c r="H9" s="14"/>
      <c r="I9" s="14"/>
      <c r="J9" s="6"/>
      <c r="K9" s="13"/>
      <c r="L9" s="6"/>
    </row>
    <row r="10" spans="1:12" ht="19" x14ac:dyDescent="0.25">
      <c r="A10" s="12" t="s">
        <v>41</v>
      </c>
      <c r="B10" s="14"/>
      <c r="C10" s="14"/>
      <c r="D10" s="14"/>
      <c r="E10" s="14"/>
      <c r="F10" s="14"/>
      <c r="G10" s="14"/>
      <c r="H10" s="14"/>
      <c r="I10" s="14"/>
      <c r="J10" s="6"/>
      <c r="K10" s="13"/>
      <c r="L10" s="6"/>
    </row>
    <row r="11" spans="1:12" ht="19" x14ac:dyDescent="0.25">
      <c r="A11" s="12"/>
      <c r="B11" s="14"/>
      <c r="C11" s="14"/>
      <c r="D11" s="14"/>
      <c r="E11" s="14"/>
      <c r="F11" s="14"/>
      <c r="G11" s="14"/>
      <c r="H11" s="14"/>
      <c r="I11" s="14"/>
      <c r="J11" s="6"/>
      <c r="K11" s="13"/>
      <c r="L11" s="6"/>
    </row>
    <row r="12" spans="1:12" ht="19" x14ac:dyDescent="0.25">
      <c r="A12" s="12" t="s">
        <v>34</v>
      </c>
      <c r="B12" s="14">
        <v>23</v>
      </c>
      <c r="C12" s="14" t="s">
        <v>33</v>
      </c>
      <c r="D12" s="14" t="s">
        <v>45</v>
      </c>
      <c r="E12" s="14"/>
      <c r="F12" s="81">
        <v>0.01</v>
      </c>
      <c r="G12" s="14"/>
      <c r="H12" s="14"/>
      <c r="I12" s="14"/>
      <c r="J12" s="6"/>
      <c r="K12" s="13"/>
      <c r="L12" s="6"/>
    </row>
    <row r="13" spans="1:12" ht="19" x14ac:dyDescent="0.25">
      <c r="A13" s="12"/>
      <c r="B13" s="14"/>
      <c r="C13" s="14"/>
      <c r="D13" s="14" t="s">
        <v>46</v>
      </c>
      <c r="E13" s="14"/>
      <c r="F13" s="14" t="s">
        <v>35</v>
      </c>
      <c r="G13" s="14"/>
      <c r="H13" s="14"/>
      <c r="I13" s="14"/>
      <c r="J13" s="6"/>
      <c r="K13" s="13"/>
      <c r="L13" s="6"/>
    </row>
    <row r="14" spans="1:12" ht="19" x14ac:dyDescent="0.25">
      <c r="A14" s="12"/>
      <c r="B14" s="14"/>
      <c r="C14" s="14"/>
      <c r="D14" s="14" t="s">
        <v>47</v>
      </c>
      <c r="E14" s="14"/>
      <c r="F14" s="14" t="s">
        <v>259</v>
      </c>
      <c r="G14" s="14"/>
      <c r="H14" s="14"/>
      <c r="I14" s="14"/>
      <c r="J14" s="6"/>
      <c r="K14" s="13"/>
      <c r="L14" s="6"/>
    </row>
    <row r="15" spans="1:12" ht="19" x14ac:dyDescent="0.25">
      <c r="A15" s="12"/>
      <c r="B15" s="14"/>
      <c r="C15" s="14"/>
      <c r="D15" s="14"/>
      <c r="E15" s="14"/>
      <c r="F15" s="14"/>
      <c r="G15" s="14"/>
      <c r="H15" s="14"/>
      <c r="I15" s="14"/>
      <c r="J15" s="6"/>
      <c r="K15" s="13"/>
      <c r="L15" s="6"/>
    </row>
    <row r="16" spans="1:12" ht="19" x14ac:dyDescent="0.25">
      <c r="A16" s="12" t="s">
        <v>42</v>
      </c>
      <c r="B16" s="14">
        <v>67</v>
      </c>
      <c r="C16" s="14" t="s">
        <v>33</v>
      </c>
      <c r="D16" s="14" t="s">
        <v>45</v>
      </c>
      <c r="E16" s="14"/>
      <c r="F16" s="14" t="s">
        <v>36</v>
      </c>
      <c r="G16" s="14"/>
      <c r="H16" s="14"/>
      <c r="I16" s="14"/>
      <c r="J16" s="6"/>
      <c r="K16" s="13"/>
      <c r="L16" s="6"/>
    </row>
    <row r="17" spans="1:12" ht="19" x14ac:dyDescent="0.25">
      <c r="A17" s="12"/>
      <c r="B17" s="14"/>
      <c r="C17" s="14"/>
      <c r="D17" s="14" t="s">
        <v>46</v>
      </c>
      <c r="E17" s="14"/>
      <c r="F17" s="14" t="s">
        <v>37</v>
      </c>
      <c r="G17" s="14"/>
      <c r="H17" s="14"/>
      <c r="I17" s="14"/>
      <c r="J17" s="6"/>
      <c r="K17" s="13"/>
      <c r="L17" s="6"/>
    </row>
    <row r="18" spans="1:12" ht="19" x14ac:dyDescent="0.25">
      <c r="A18" s="12"/>
      <c r="B18" s="14"/>
      <c r="C18" s="14"/>
      <c r="D18" s="14" t="s">
        <v>48</v>
      </c>
      <c r="E18" s="14"/>
      <c r="F18" s="14" t="s">
        <v>38</v>
      </c>
      <c r="G18" s="14"/>
      <c r="H18" s="14"/>
      <c r="I18" s="14"/>
      <c r="J18" s="6"/>
      <c r="K18" s="13"/>
      <c r="L18" s="6"/>
    </row>
    <row r="19" spans="1:12" ht="19" x14ac:dyDescent="0.25">
      <c r="A19" s="12"/>
      <c r="B19" s="14"/>
      <c r="C19" s="14"/>
      <c r="D19" s="14"/>
      <c r="E19" s="14"/>
      <c r="F19" s="14"/>
      <c r="G19" s="14"/>
      <c r="H19" s="14"/>
      <c r="I19" s="14"/>
      <c r="J19" s="6"/>
      <c r="K19" s="13"/>
      <c r="L19" s="6"/>
    </row>
    <row r="20" spans="1:12" ht="19" x14ac:dyDescent="0.25">
      <c r="A20" s="12" t="s">
        <v>43</v>
      </c>
      <c r="B20" s="14">
        <v>450</v>
      </c>
      <c r="C20" s="14" t="s">
        <v>33</v>
      </c>
      <c r="D20" s="14" t="s">
        <v>45</v>
      </c>
      <c r="E20" s="14"/>
      <c r="F20" s="81">
        <v>0.12</v>
      </c>
      <c r="G20" s="14"/>
      <c r="H20" s="14"/>
      <c r="I20" s="14"/>
      <c r="J20" s="6"/>
      <c r="K20" s="13"/>
      <c r="L20" s="6"/>
    </row>
    <row r="21" spans="1:12" ht="19" x14ac:dyDescent="0.25">
      <c r="A21" s="12"/>
      <c r="B21" s="14"/>
      <c r="C21" s="14"/>
      <c r="D21" s="14"/>
      <c r="E21" s="14"/>
      <c r="F21" s="14"/>
      <c r="G21" s="14"/>
      <c r="H21" s="14"/>
      <c r="I21" s="14"/>
      <c r="J21" s="6"/>
      <c r="K21" s="13"/>
      <c r="L21" s="6"/>
    </row>
    <row r="22" spans="1:12" ht="19" x14ac:dyDescent="0.25">
      <c r="A22" s="12" t="s">
        <v>44</v>
      </c>
      <c r="B22" s="14">
        <v>70</v>
      </c>
      <c r="C22" s="14" t="s">
        <v>33</v>
      </c>
      <c r="D22" s="14" t="s">
        <v>45</v>
      </c>
      <c r="E22" s="14"/>
      <c r="F22" s="81">
        <v>0</v>
      </c>
      <c r="G22" s="14"/>
      <c r="H22" s="14"/>
      <c r="I22" s="14"/>
      <c r="J22" s="6"/>
      <c r="K22" s="13"/>
      <c r="L22" s="6"/>
    </row>
    <row r="23" spans="1:12" ht="19" x14ac:dyDescent="0.25">
      <c r="A23" s="18"/>
      <c r="B23" s="20"/>
      <c r="C23" s="20"/>
      <c r="D23" s="20"/>
      <c r="E23" s="20"/>
      <c r="F23" s="20"/>
      <c r="G23" s="20"/>
      <c r="H23" s="20"/>
      <c r="I23" s="20"/>
      <c r="J23" s="21"/>
      <c r="K23" s="13"/>
      <c r="L23" s="6"/>
    </row>
  </sheetData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0" scale="77" orientation="landscape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60"/>
  <sheetViews>
    <sheetView showGridLines="0" zoomScale="110" zoomScaleNormal="110" workbookViewId="0">
      <selection activeCell="A2" sqref="A2"/>
    </sheetView>
  </sheetViews>
  <sheetFormatPr baseColWidth="10" defaultRowHeight="18" x14ac:dyDescent="0.2"/>
  <cols>
    <col min="1" max="1" width="53.33203125" style="168" customWidth="1"/>
    <col min="2" max="12" width="10.83203125" style="168"/>
    <col min="13" max="13" width="11.1640625" style="168" bestFit="1" customWidth="1"/>
    <col min="14" max="16384" width="10.83203125" style="168"/>
  </cols>
  <sheetData>
    <row r="2" spans="1:12" ht="24" x14ac:dyDescent="0.3">
      <c r="A2" s="248" t="s">
        <v>49</v>
      </c>
      <c r="B2" s="13"/>
    </row>
    <row r="3" spans="1:12" ht="19" x14ac:dyDescent="0.25">
      <c r="A3" s="5"/>
      <c r="B3" s="6"/>
    </row>
    <row r="4" spans="1:12" x14ac:dyDescent="0.2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2" ht="21" x14ac:dyDescent="0.25">
      <c r="A5" s="313" t="s">
        <v>84</v>
      </c>
      <c r="B5" s="187">
        <f>'Prévision P&amp;L &amp; CF'!B6</f>
        <v>1989</v>
      </c>
      <c r="C5" s="187">
        <f>'Prévision P&amp;L &amp; CF'!C6</f>
        <v>1990</v>
      </c>
      <c r="D5" s="187">
        <f>'Prévision P&amp;L &amp; CF'!D6</f>
        <v>1991</v>
      </c>
      <c r="E5" s="187">
        <f>'Prévision P&amp;L &amp; CF'!E6</f>
        <v>1992</v>
      </c>
      <c r="F5" s="187">
        <f>'Prévision P&amp;L &amp; CF'!F6</f>
        <v>1993</v>
      </c>
      <c r="G5" s="187">
        <f>'Prévision P&amp;L &amp; CF'!G6</f>
        <v>1994</v>
      </c>
      <c r="H5" s="187">
        <f>'Prévision P&amp;L &amp; CF'!H6</f>
        <v>1995</v>
      </c>
      <c r="I5" s="187">
        <f>'Prévision P&amp;L &amp; CF'!I6</f>
        <v>1996</v>
      </c>
      <c r="J5" s="187">
        <f>'Prévision P&amp;L &amp; CF'!J6</f>
        <v>1997</v>
      </c>
      <c r="K5" s="187">
        <f>'Prévision P&amp;L &amp; CF'!K6</f>
        <v>1998</v>
      </c>
      <c r="L5" s="187">
        <f>'Prévision P&amp;L &amp; CF'!L6</f>
        <v>1999</v>
      </c>
    </row>
    <row r="6" spans="1:12" ht="19" x14ac:dyDescent="0.25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</row>
    <row r="7" spans="1:12" ht="19" x14ac:dyDescent="0.25">
      <c r="A7" s="12"/>
      <c r="B7" s="226"/>
      <c r="C7" s="226"/>
      <c r="D7" s="201"/>
      <c r="E7" s="201"/>
      <c r="F7" s="201"/>
      <c r="G7" s="201"/>
      <c r="H7" s="201"/>
      <c r="I7" s="201"/>
      <c r="J7" s="167"/>
      <c r="K7" s="167"/>
      <c r="L7" s="259"/>
    </row>
    <row r="8" spans="1:12" ht="19" x14ac:dyDescent="0.25">
      <c r="A8" s="213" t="s">
        <v>199</v>
      </c>
      <c r="B8" s="226">
        <f>Structuration!B5</f>
        <v>770</v>
      </c>
      <c r="C8" s="226">
        <f>B8</f>
        <v>770</v>
      </c>
      <c r="D8" s="226">
        <f t="shared" ref="D8:L8" si="0">C8</f>
        <v>770</v>
      </c>
      <c r="E8" s="226">
        <f t="shared" si="0"/>
        <v>770</v>
      </c>
      <c r="F8" s="226">
        <f t="shared" si="0"/>
        <v>770</v>
      </c>
      <c r="G8" s="226">
        <f t="shared" si="0"/>
        <v>770</v>
      </c>
      <c r="H8" s="226">
        <f t="shared" si="0"/>
        <v>770</v>
      </c>
      <c r="I8" s="226">
        <f t="shared" si="0"/>
        <v>770</v>
      </c>
      <c r="J8" s="226">
        <f t="shared" si="0"/>
        <v>770</v>
      </c>
      <c r="K8" s="226">
        <f t="shared" si="0"/>
        <v>770</v>
      </c>
      <c r="L8" s="201">
        <f t="shared" si="0"/>
        <v>770</v>
      </c>
    </row>
    <row r="9" spans="1:12" ht="19" x14ac:dyDescent="0.25">
      <c r="A9" s="213"/>
      <c r="B9" s="226"/>
      <c r="C9" s="226"/>
      <c r="D9" s="226"/>
      <c r="E9" s="226"/>
      <c r="F9" s="226"/>
      <c r="G9" s="226"/>
      <c r="H9" s="226"/>
      <c r="I9" s="226"/>
      <c r="J9" s="201"/>
      <c r="K9" s="201"/>
      <c r="L9" s="201"/>
    </row>
    <row r="10" spans="1:12" ht="19" x14ac:dyDescent="0.25">
      <c r="A10" s="213" t="s">
        <v>91</v>
      </c>
      <c r="B10" s="226">
        <v>0</v>
      </c>
      <c r="C10" s="226">
        <f>C52</f>
        <v>9.9287950000000009</v>
      </c>
      <c r="D10" s="226">
        <f>D52+C10</f>
        <v>7.1405015600000326</v>
      </c>
      <c r="E10" s="226">
        <f t="shared" ref="E10:K10" si="1">E52+D10</f>
        <v>15.143231884500004</v>
      </c>
      <c r="F10" s="226">
        <f t="shared" si="1"/>
        <v>18.147193743482489</v>
      </c>
      <c r="G10" s="226">
        <f t="shared" si="1"/>
        <v>19.254189716561168</v>
      </c>
      <c r="H10" s="226">
        <f t="shared" si="1"/>
        <v>35.048379728685994</v>
      </c>
      <c r="I10" s="226">
        <f t="shared" si="1"/>
        <v>28.778443939587429</v>
      </c>
      <c r="J10" s="226">
        <f t="shared" si="1"/>
        <v>33.560863693681519</v>
      </c>
      <c r="K10" s="226">
        <f t="shared" si="1"/>
        <v>50.712661274145169</v>
      </c>
      <c r="L10" s="201">
        <f>L52+K10</f>
        <v>9.3526786817128453</v>
      </c>
    </row>
    <row r="11" spans="1:12" ht="19" x14ac:dyDescent="0.25">
      <c r="A11" s="215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3"/>
    </row>
    <row r="12" spans="1:12" ht="19" x14ac:dyDescent="0.25">
      <c r="A12" s="170" t="s">
        <v>94</v>
      </c>
      <c r="B12" s="228">
        <f>B8+B10</f>
        <v>770</v>
      </c>
      <c r="C12" s="228">
        <f t="shared" ref="C12:L12" si="2">C8+C10</f>
        <v>779.92879500000004</v>
      </c>
      <c r="D12" s="228">
        <f t="shared" si="2"/>
        <v>777.14050156000008</v>
      </c>
      <c r="E12" s="228">
        <f t="shared" si="2"/>
        <v>785.14323188449998</v>
      </c>
      <c r="F12" s="228">
        <f t="shared" si="2"/>
        <v>788.14719374348249</v>
      </c>
      <c r="G12" s="228">
        <f t="shared" si="2"/>
        <v>789.2541897165612</v>
      </c>
      <c r="H12" s="228">
        <f t="shared" si="2"/>
        <v>805.04837972868597</v>
      </c>
      <c r="I12" s="228">
        <f t="shared" si="2"/>
        <v>798.77844393958742</v>
      </c>
      <c r="J12" s="228">
        <f t="shared" si="2"/>
        <v>803.56086369368154</v>
      </c>
      <c r="K12" s="228">
        <f t="shared" si="2"/>
        <v>820.71266127414515</v>
      </c>
      <c r="L12" s="229">
        <f t="shared" si="2"/>
        <v>779.35267868171286</v>
      </c>
    </row>
    <row r="13" spans="1:12" ht="19" x14ac:dyDescent="0.25">
      <c r="A13" s="213"/>
      <c r="B13" s="226"/>
      <c r="C13" s="226"/>
      <c r="D13" s="201"/>
      <c r="E13" s="201"/>
      <c r="F13" s="201"/>
      <c r="G13" s="201"/>
      <c r="H13" s="201"/>
      <c r="I13" s="201"/>
      <c r="J13" s="167"/>
      <c r="K13" s="167"/>
      <c r="L13" s="167"/>
    </row>
    <row r="14" spans="1:12" ht="19" x14ac:dyDescent="0.25">
      <c r="A14" s="213" t="s">
        <v>95</v>
      </c>
      <c r="B14" s="226">
        <f>Structuration!B8</f>
        <v>160</v>
      </c>
      <c r="C14" s="226">
        <f>B14+C42+C44</f>
        <v>174.92879500000001</v>
      </c>
      <c r="D14" s="226">
        <f t="shared" ref="D14:K14" si="3">C14+D42+D44</f>
        <v>176.38492786</v>
      </c>
      <c r="E14" s="226">
        <f t="shared" si="3"/>
        <v>192.73111072</v>
      </c>
      <c r="F14" s="226">
        <f t="shared" si="3"/>
        <v>218.74149358000003</v>
      </c>
      <c r="G14" s="226">
        <f t="shared" si="3"/>
        <v>258.96886594</v>
      </c>
      <c r="H14" s="226">
        <f t="shared" si="3"/>
        <v>304.16681544999994</v>
      </c>
      <c r="I14" s="226">
        <f t="shared" si="3"/>
        <v>357.82116896499997</v>
      </c>
      <c r="J14" s="226">
        <f t="shared" si="3"/>
        <v>423.34220528349999</v>
      </c>
      <c r="K14" s="226">
        <f t="shared" si="3"/>
        <v>500.26951956444998</v>
      </c>
      <c r="L14" s="201">
        <f>K14+L42+L44+K16+K18+L48</f>
        <v>588.33486841911485</v>
      </c>
    </row>
    <row r="15" spans="1:12" ht="19" x14ac:dyDescent="0.25">
      <c r="A15" s="213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01"/>
    </row>
    <row r="16" spans="1:12" ht="19" x14ac:dyDescent="0.25">
      <c r="A16" s="213" t="s">
        <v>201</v>
      </c>
      <c r="B16" s="226">
        <f>Structuration!B12</f>
        <v>23</v>
      </c>
      <c r="C16" s="226">
        <f>B16</f>
        <v>23</v>
      </c>
      <c r="D16" s="226">
        <f t="shared" ref="D16:K16" si="4">C16</f>
        <v>23</v>
      </c>
      <c r="E16" s="226">
        <f t="shared" si="4"/>
        <v>23</v>
      </c>
      <c r="F16" s="226">
        <f t="shared" si="4"/>
        <v>23</v>
      </c>
      <c r="G16" s="226">
        <f t="shared" si="4"/>
        <v>23</v>
      </c>
      <c r="H16" s="226">
        <f t="shared" si="4"/>
        <v>23</v>
      </c>
      <c r="I16" s="226">
        <f t="shared" si="4"/>
        <v>23</v>
      </c>
      <c r="J16" s="226">
        <f t="shared" si="4"/>
        <v>23</v>
      </c>
      <c r="K16" s="226">
        <f t="shared" si="4"/>
        <v>23</v>
      </c>
      <c r="L16" s="201">
        <v>0</v>
      </c>
    </row>
    <row r="17" spans="1:12" ht="19" x14ac:dyDescent="0.25">
      <c r="A17" s="213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01"/>
    </row>
    <row r="18" spans="1:12" ht="19" x14ac:dyDescent="0.25">
      <c r="A18" s="213" t="s">
        <v>200</v>
      </c>
      <c r="B18" s="226">
        <f>Structuration!B16</f>
        <v>67</v>
      </c>
      <c r="C18" s="226">
        <f>B18</f>
        <v>67</v>
      </c>
      <c r="D18" s="226">
        <f t="shared" ref="D18:K18" si="5">C18</f>
        <v>67</v>
      </c>
      <c r="E18" s="226">
        <f t="shared" si="5"/>
        <v>67</v>
      </c>
      <c r="F18" s="226">
        <f t="shared" si="5"/>
        <v>67</v>
      </c>
      <c r="G18" s="226">
        <f t="shared" si="5"/>
        <v>67</v>
      </c>
      <c r="H18" s="226">
        <f t="shared" si="5"/>
        <v>67</v>
      </c>
      <c r="I18" s="226">
        <f t="shared" si="5"/>
        <v>67</v>
      </c>
      <c r="J18" s="226">
        <f t="shared" si="5"/>
        <v>67</v>
      </c>
      <c r="K18" s="226">
        <f t="shared" si="5"/>
        <v>67</v>
      </c>
      <c r="L18" s="201">
        <v>0</v>
      </c>
    </row>
    <row r="19" spans="1:12" ht="19" x14ac:dyDescent="0.25">
      <c r="A19" s="215"/>
      <c r="B19" s="252"/>
      <c r="C19" s="252"/>
      <c r="D19" s="252"/>
      <c r="E19" s="252"/>
      <c r="F19" s="252"/>
      <c r="G19" s="252"/>
      <c r="H19" s="252"/>
      <c r="I19" s="252"/>
      <c r="J19" s="253"/>
      <c r="K19" s="253"/>
      <c r="L19" s="253"/>
    </row>
    <row r="20" spans="1:12" ht="19" x14ac:dyDescent="0.25">
      <c r="A20" s="213"/>
      <c r="B20" s="226"/>
      <c r="C20" s="226"/>
      <c r="D20" s="226"/>
      <c r="E20" s="226"/>
      <c r="F20" s="226"/>
      <c r="G20" s="226"/>
      <c r="H20" s="226"/>
      <c r="I20" s="226"/>
      <c r="J20" s="201"/>
      <c r="K20" s="201"/>
      <c r="L20" s="227"/>
    </row>
    <row r="21" spans="1:12" ht="19" x14ac:dyDescent="0.25">
      <c r="A21" s="213" t="s">
        <v>202</v>
      </c>
      <c r="B21" s="226">
        <f>B14+B16+B18</f>
        <v>250</v>
      </c>
      <c r="C21" s="226">
        <f t="shared" ref="C21:L21" si="6">C14+C16+C18</f>
        <v>264.92879500000004</v>
      </c>
      <c r="D21" s="226">
        <f t="shared" si="6"/>
        <v>266.38492786</v>
      </c>
      <c r="E21" s="226">
        <f t="shared" si="6"/>
        <v>282.73111072</v>
      </c>
      <c r="F21" s="226">
        <f t="shared" si="6"/>
        <v>308.74149358</v>
      </c>
      <c r="G21" s="226">
        <f t="shared" si="6"/>
        <v>348.96886594</v>
      </c>
      <c r="H21" s="226">
        <f t="shared" si="6"/>
        <v>394.16681544999994</v>
      </c>
      <c r="I21" s="226">
        <f t="shared" si="6"/>
        <v>447.82116896499997</v>
      </c>
      <c r="J21" s="226">
        <f t="shared" si="6"/>
        <v>513.34220528349999</v>
      </c>
      <c r="K21" s="226">
        <f>K14+K16+K18</f>
        <v>590.26951956444998</v>
      </c>
      <c r="L21" s="201">
        <f t="shared" si="6"/>
        <v>588.33486841911485</v>
      </c>
    </row>
    <row r="22" spans="1:12" ht="19" x14ac:dyDescent="0.25">
      <c r="A22" s="213"/>
      <c r="B22" s="226"/>
      <c r="C22" s="226"/>
      <c r="D22" s="226"/>
      <c r="E22" s="226"/>
      <c r="F22" s="226"/>
      <c r="G22" s="226"/>
      <c r="H22" s="226"/>
      <c r="I22" s="226"/>
      <c r="J22" s="201"/>
      <c r="K22" s="201"/>
      <c r="L22" s="201"/>
    </row>
    <row r="23" spans="1:12" ht="19" x14ac:dyDescent="0.25">
      <c r="A23" s="213" t="s">
        <v>203</v>
      </c>
      <c r="B23" s="226">
        <f>Structuration!B20</f>
        <v>450</v>
      </c>
      <c r="C23" s="226">
        <v>435</v>
      </c>
      <c r="D23" s="226">
        <v>410</v>
      </c>
      <c r="E23" s="226">
        <v>385</v>
      </c>
      <c r="F23" s="226">
        <v>350</v>
      </c>
      <c r="G23" s="226">
        <v>300</v>
      </c>
      <c r="H23" s="226">
        <v>260</v>
      </c>
      <c r="I23" s="226">
        <v>190</v>
      </c>
      <c r="J23" s="226">
        <v>120</v>
      </c>
      <c r="K23" s="226">
        <v>50</v>
      </c>
      <c r="L23" s="201">
        <v>0</v>
      </c>
    </row>
    <row r="24" spans="1:12" ht="19" x14ac:dyDescent="0.25">
      <c r="A24" s="213"/>
      <c r="B24" s="226"/>
      <c r="C24" s="226"/>
      <c r="D24" s="226"/>
      <c r="E24" s="226"/>
      <c r="F24" s="226"/>
      <c r="G24" s="226"/>
      <c r="H24" s="226"/>
      <c r="I24" s="226"/>
      <c r="J24" s="201"/>
      <c r="K24" s="201"/>
      <c r="L24" s="201"/>
    </row>
    <row r="25" spans="1:12" ht="19" x14ac:dyDescent="0.25">
      <c r="A25" s="213" t="s">
        <v>204</v>
      </c>
      <c r="B25" s="226">
        <f>Structuration!B22</f>
        <v>70</v>
      </c>
      <c r="C25" s="226">
        <f>B25+C50</f>
        <v>80</v>
      </c>
      <c r="D25" s="226">
        <f t="shared" ref="D25:K25" si="7">C25+D50</f>
        <v>100.75557370000003</v>
      </c>
      <c r="E25" s="226">
        <f t="shared" si="7"/>
        <v>117.41212116449999</v>
      </c>
      <c r="F25" s="226">
        <f t="shared" si="7"/>
        <v>129.40570016348246</v>
      </c>
      <c r="G25" s="226">
        <f t="shared" si="7"/>
        <v>140.28532377656114</v>
      </c>
      <c r="H25" s="226">
        <f t="shared" si="7"/>
        <v>150.88156427868597</v>
      </c>
      <c r="I25" s="226">
        <f t="shared" si="7"/>
        <v>160.95727497458742</v>
      </c>
      <c r="J25" s="226">
        <f t="shared" si="7"/>
        <v>170.21865841018149</v>
      </c>
      <c r="K25" s="226">
        <f t="shared" si="7"/>
        <v>180.44314170969514</v>
      </c>
      <c r="L25" s="201">
        <f>K25+L50</f>
        <v>191.01781026259783</v>
      </c>
    </row>
    <row r="26" spans="1:12" ht="19" x14ac:dyDescent="0.25">
      <c r="A26" s="215"/>
      <c r="B26" s="252"/>
      <c r="C26" s="252"/>
      <c r="D26" s="252"/>
      <c r="E26" s="252"/>
      <c r="F26" s="252"/>
      <c r="G26" s="252"/>
      <c r="H26" s="252"/>
      <c r="I26" s="252"/>
      <c r="J26" s="253"/>
      <c r="K26" s="253"/>
      <c r="L26" s="253"/>
    </row>
    <row r="27" spans="1:12" ht="19" x14ac:dyDescent="0.25">
      <c r="A27" s="170" t="s">
        <v>104</v>
      </c>
      <c r="B27" s="228">
        <f>B21+B23+B25</f>
        <v>770</v>
      </c>
      <c r="C27" s="228">
        <f t="shared" ref="C27:L27" si="8">C21+C23+C25</f>
        <v>779.92879500000004</v>
      </c>
      <c r="D27" s="228">
        <f t="shared" si="8"/>
        <v>777.14050156000008</v>
      </c>
      <c r="E27" s="228">
        <f t="shared" si="8"/>
        <v>785.1432318845001</v>
      </c>
      <c r="F27" s="228">
        <f t="shared" si="8"/>
        <v>788.14719374348249</v>
      </c>
      <c r="G27" s="228">
        <f t="shared" si="8"/>
        <v>789.25418971656109</v>
      </c>
      <c r="H27" s="228">
        <f t="shared" si="8"/>
        <v>805.04837972868586</v>
      </c>
      <c r="I27" s="228">
        <f t="shared" si="8"/>
        <v>798.77844393958742</v>
      </c>
      <c r="J27" s="228">
        <f t="shared" si="8"/>
        <v>803.56086369368154</v>
      </c>
      <c r="K27" s="228">
        <f t="shared" si="8"/>
        <v>820.71266127414515</v>
      </c>
      <c r="L27" s="229">
        <f t="shared" si="8"/>
        <v>779.35267868171263</v>
      </c>
    </row>
    <row r="30" spans="1:12" ht="19" x14ac:dyDescent="0.25">
      <c r="A30" s="254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9" x14ac:dyDescent="0.25">
      <c r="A31" s="61" t="s">
        <v>236</v>
      </c>
      <c r="B31" s="187">
        <f t="shared" ref="B31:L31" si="9">B5</f>
        <v>1989</v>
      </c>
      <c r="C31" s="187">
        <f t="shared" si="9"/>
        <v>1990</v>
      </c>
      <c r="D31" s="187">
        <f t="shared" si="9"/>
        <v>1991</v>
      </c>
      <c r="E31" s="187">
        <f t="shared" si="9"/>
        <v>1992</v>
      </c>
      <c r="F31" s="187">
        <f t="shared" si="9"/>
        <v>1993</v>
      </c>
      <c r="G31" s="187">
        <f t="shared" si="9"/>
        <v>1994</v>
      </c>
      <c r="H31" s="187">
        <f t="shared" si="9"/>
        <v>1995</v>
      </c>
      <c r="I31" s="187">
        <f t="shared" si="9"/>
        <v>1996</v>
      </c>
      <c r="J31" s="187">
        <f t="shared" si="9"/>
        <v>1997</v>
      </c>
      <c r="K31" s="187">
        <f t="shared" si="9"/>
        <v>1998</v>
      </c>
      <c r="L31" s="187">
        <f t="shared" si="9"/>
        <v>1999</v>
      </c>
    </row>
    <row r="32" spans="1:12" ht="19" x14ac:dyDescent="0.25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51"/>
      <c r="L32" s="251"/>
    </row>
    <row r="33" spans="1:14" x14ac:dyDescent="0.2">
      <c r="A33" s="249"/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4" x14ac:dyDescent="0.2">
      <c r="A34" s="200" t="s">
        <v>205</v>
      </c>
      <c r="B34" s="201"/>
      <c r="C34" s="258">
        <f>-'Prévision P&amp;L &amp; CF'!C46</f>
        <v>51.786000000000001</v>
      </c>
      <c r="D34" s="258">
        <f>-'Prévision P&amp;L &amp; CF'!D46</f>
        <v>40.016542860000001</v>
      </c>
      <c r="E34" s="258">
        <f>-'Prévision P&amp;L &amp; CF'!E46</f>
        <v>53.016592860000003</v>
      </c>
      <c r="F34" s="258">
        <f>-'Prévision P&amp;L &amp; CF'!F46</f>
        <v>61.360627860000001</v>
      </c>
      <c r="G34" s="258">
        <f>-'Prévision P&amp;L &amp; CF'!G46</f>
        <v>73.501452360000002</v>
      </c>
      <c r="H34" s="258">
        <f>-'Prévision P&amp;L &amp; CF'!H46</f>
        <v>74.692029509999998</v>
      </c>
      <c r="I34" s="258">
        <f>-'Prévision P&amp;L &amp; CF'!I46</f>
        <v>80.124433514999993</v>
      </c>
      <c r="J34" s="258">
        <f>-'Prévision P&amp;L &amp; CF'!J46</f>
        <v>86.699116318500003</v>
      </c>
      <c r="K34" s="258">
        <f>-'Prévision P&amp;L &amp; CF'!K46</f>
        <v>92.813394280950007</v>
      </c>
      <c r="L34" s="258">
        <f>-'Prévision P&amp;L &amp; CF'!L46</f>
        <v>101.062388854665</v>
      </c>
      <c r="M34" s="292"/>
    </row>
    <row r="35" spans="1:14" x14ac:dyDescent="0.2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</row>
    <row r="36" spans="1:14" x14ac:dyDescent="0.2">
      <c r="A36" s="200" t="s">
        <v>206</v>
      </c>
      <c r="B36" s="201"/>
      <c r="C36" s="258">
        <f>-Structuration!B12*Structuration!F12/2</f>
        <v>-0.115</v>
      </c>
      <c r="D36" s="258">
        <f>C36*2</f>
        <v>-0.23</v>
      </c>
      <c r="E36" s="258">
        <f t="shared" ref="E36:K36" si="10">D36</f>
        <v>-0.23</v>
      </c>
      <c r="F36" s="258">
        <f t="shared" si="10"/>
        <v>-0.23</v>
      </c>
      <c r="G36" s="258">
        <f t="shared" si="10"/>
        <v>-0.23</v>
      </c>
      <c r="H36" s="258">
        <f t="shared" si="10"/>
        <v>-0.23</v>
      </c>
      <c r="I36" s="258">
        <f t="shared" si="10"/>
        <v>-0.23</v>
      </c>
      <c r="J36" s="258">
        <f t="shared" si="10"/>
        <v>-0.23</v>
      </c>
      <c r="K36" s="258">
        <f t="shared" si="10"/>
        <v>-0.23</v>
      </c>
      <c r="L36" s="258">
        <f>K36/2</f>
        <v>-0.115</v>
      </c>
      <c r="M36" s="292"/>
    </row>
    <row r="37" spans="1:14" x14ac:dyDescent="0.2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</row>
    <row r="38" spans="1:14" x14ac:dyDescent="0.2">
      <c r="A38" s="200" t="s">
        <v>207</v>
      </c>
      <c r="B38" s="201"/>
      <c r="C38" s="258">
        <f>-Structuration!$B16*13.1%/2</f>
        <v>-4.3885000000000005</v>
      </c>
      <c r="D38" s="258">
        <f>-Structuration!$B16*13.1%</f>
        <v>-8.777000000000001</v>
      </c>
      <c r="E38" s="258">
        <f>-Structuration!$B16*13.1%</f>
        <v>-8.777000000000001</v>
      </c>
      <c r="F38" s="258">
        <f>-Structuration!$B16*(13.1%+15.8%)/2</f>
        <v>-9.6815000000000015</v>
      </c>
      <c r="G38" s="258">
        <f>-Structuration!$B16*15.8%</f>
        <v>-10.586</v>
      </c>
      <c r="H38" s="258">
        <f>-Structuration!$B16*15.8%</f>
        <v>-10.586</v>
      </c>
      <c r="I38" s="258">
        <f>-Structuration!$B16*15.8%</f>
        <v>-10.586</v>
      </c>
      <c r="J38" s="258">
        <f>-Structuration!$B16*15.8%</f>
        <v>-10.586</v>
      </c>
      <c r="K38" s="258">
        <f>-Structuration!$B16*15.8%</f>
        <v>-10.586</v>
      </c>
      <c r="L38" s="258">
        <f>-Structuration!$B16*15.8%/2</f>
        <v>-5.2930000000000001</v>
      </c>
      <c r="M38" s="292"/>
    </row>
    <row r="39" spans="1:14" x14ac:dyDescent="0.2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</row>
    <row r="40" spans="1:14" x14ac:dyDescent="0.2">
      <c r="A40" s="200" t="s">
        <v>208</v>
      </c>
      <c r="B40" s="201"/>
      <c r="C40" s="258">
        <f>-B23*Structuration!$F20</f>
        <v>-54</v>
      </c>
      <c r="D40" s="258">
        <f>-C23*Structuration!$F20</f>
        <v>-52.199999999999996</v>
      </c>
      <c r="E40" s="258">
        <f>-D23*Structuration!$F20</f>
        <v>-49.199999999999996</v>
      </c>
      <c r="F40" s="258">
        <f>-E23*Structuration!$F20</f>
        <v>-46.199999999999996</v>
      </c>
      <c r="G40" s="258">
        <f>-F23*Structuration!$F20</f>
        <v>-42</v>
      </c>
      <c r="H40" s="258">
        <f>-G23*Structuration!$F20</f>
        <v>-36</v>
      </c>
      <c r="I40" s="258">
        <f>-H23*Structuration!$F20</f>
        <v>-31.2</v>
      </c>
      <c r="J40" s="258">
        <f>-I23*Structuration!$F20</f>
        <v>-22.8</v>
      </c>
      <c r="K40" s="258">
        <f>-J23*Structuration!$F20</f>
        <v>-14.399999999999999</v>
      </c>
      <c r="L40" s="258">
        <f>-K23*Structuration!$F20</f>
        <v>-6</v>
      </c>
      <c r="M40" s="292"/>
    </row>
    <row r="41" spans="1:14" x14ac:dyDescent="0.2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</row>
    <row r="42" spans="1:14" x14ac:dyDescent="0.2">
      <c r="A42" s="200" t="s">
        <v>209</v>
      </c>
      <c r="B42" s="201"/>
      <c r="C42" s="258">
        <f>C34+C36+C38+C40</f>
        <v>-6.7175000000000011</v>
      </c>
      <c r="D42" s="258">
        <f t="shared" ref="D42:L42" si="11">D34+D36+D38+D40</f>
        <v>-21.190457139999992</v>
      </c>
      <c r="E42" s="258">
        <f t="shared" si="11"/>
        <v>-5.1904071399999907</v>
      </c>
      <c r="F42" s="258">
        <f t="shared" si="11"/>
        <v>5.2491278600000086</v>
      </c>
      <c r="G42" s="258">
        <f t="shared" si="11"/>
        <v>20.685452359999999</v>
      </c>
      <c r="H42" s="258">
        <f t="shared" si="11"/>
        <v>27.876029509999995</v>
      </c>
      <c r="I42" s="258">
        <f t="shared" si="11"/>
        <v>38.108433514999987</v>
      </c>
      <c r="J42" s="258">
        <f t="shared" si="11"/>
        <v>53.083116318500004</v>
      </c>
      <c r="K42" s="258">
        <f t="shared" si="11"/>
        <v>67.597394280949999</v>
      </c>
      <c r="L42" s="258">
        <f t="shared" si="11"/>
        <v>89.654388854665001</v>
      </c>
    </row>
    <row r="43" spans="1:14" x14ac:dyDescent="0.2">
      <c r="A43" s="200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</row>
    <row r="44" spans="1:14" x14ac:dyDescent="0.2">
      <c r="A44" s="200" t="s">
        <v>220</v>
      </c>
      <c r="B44" s="201"/>
      <c r="C44" s="258">
        <f t="shared" ref="C44:F44" si="12">-(C36+C38+C40)*37%</f>
        <v>21.646295000000002</v>
      </c>
      <c r="D44" s="258">
        <f t="shared" si="12"/>
        <v>22.646589999999996</v>
      </c>
      <c r="E44" s="258">
        <f t="shared" si="12"/>
        <v>21.536589999999997</v>
      </c>
      <c r="F44" s="258">
        <f t="shared" si="12"/>
        <v>20.761254999999998</v>
      </c>
      <c r="G44" s="258">
        <f t="shared" ref="G44:L44" si="13">-(G36+G38+G40)*37%</f>
        <v>19.541920000000001</v>
      </c>
      <c r="H44" s="258">
        <f t="shared" si="13"/>
        <v>17.321920000000002</v>
      </c>
      <c r="I44" s="258">
        <f t="shared" si="13"/>
        <v>15.545919999999999</v>
      </c>
      <c r="J44" s="258">
        <f t="shared" si="13"/>
        <v>12.43792</v>
      </c>
      <c r="K44" s="258">
        <f t="shared" si="13"/>
        <v>9.3299199999999995</v>
      </c>
      <c r="L44" s="258">
        <f t="shared" si="13"/>
        <v>4.2209600000000007</v>
      </c>
      <c r="M44" s="292"/>
    </row>
    <row r="45" spans="1:14" x14ac:dyDescent="0.2">
      <c r="A45" s="200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</row>
    <row r="46" spans="1:14" x14ac:dyDescent="0.2">
      <c r="A46" s="200" t="s">
        <v>210</v>
      </c>
      <c r="B46" s="201"/>
      <c r="C46" s="258">
        <f>C23-B23</f>
        <v>-15</v>
      </c>
      <c r="D46" s="258">
        <f t="shared" ref="D46:L46" si="14">D23-C23</f>
        <v>-25</v>
      </c>
      <c r="E46" s="258">
        <f t="shared" si="14"/>
        <v>-25</v>
      </c>
      <c r="F46" s="258">
        <f t="shared" si="14"/>
        <v>-35</v>
      </c>
      <c r="G46" s="258">
        <f t="shared" si="14"/>
        <v>-50</v>
      </c>
      <c r="H46" s="258">
        <f t="shared" si="14"/>
        <v>-40</v>
      </c>
      <c r="I46" s="258">
        <f t="shared" si="14"/>
        <v>-70</v>
      </c>
      <c r="J46" s="258">
        <f t="shared" si="14"/>
        <v>-70</v>
      </c>
      <c r="K46" s="258">
        <f t="shared" si="14"/>
        <v>-70</v>
      </c>
      <c r="L46" s="258">
        <f t="shared" si="14"/>
        <v>-50</v>
      </c>
      <c r="M46" s="292"/>
    </row>
    <row r="47" spans="1:14" x14ac:dyDescent="0.2">
      <c r="A47" s="200"/>
      <c r="B47" s="201"/>
      <c r="C47" s="258"/>
      <c r="D47" s="258"/>
      <c r="E47" s="258"/>
      <c r="F47" s="258"/>
      <c r="G47" s="258"/>
      <c r="H47" s="258"/>
      <c r="I47" s="258"/>
      <c r="J47" s="258"/>
      <c r="K47" s="258"/>
      <c r="L47" s="258"/>
    </row>
    <row r="48" spans="1:14" x14ac:dyDescent="0.2">
      <c r="A48" s="200" t="s">
        <v>211</v>
      </c>
      <c r="B48" s="201"/>
      <c r="C48" s="258"/>
      <c r="D48" s="258"/>
      <c r="E48" s="258"/>
      <c r="F48" s="258"/>
      <c r="G48" s="258"/>
      <c r="H48" s="258"/>
      <c r="I48" s="258"/>
      <c r="J48" s="258"/>
      <c r="K48" s="258"/>
      <c r="L48" s="258">
        <f>-1.43*Structuration!B16</f>
        <v>-95.81</v>
      </c>
      <c r="M48" s="292"/>
      <c r="N48" s="314"/>
    </row>
    <row r="49" spans="1:13" x14ac:dyDescent="0.2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</row>
    <row r="50" spans="1:13" x14ac:dyDescent="0.2">
      <c r="A50" s="200" t="s">
        <v>212</v>
      </c>
      <c r="B50" s="201"/>
      <c r="C50" s="258">
        <v>10</v>
      </c>
      <c r="D50" s="258">
        <f>-'Prévision P&amp;L &amp; CF'!D47</f>
        <v>20.755573700000028</v>
      </c>
      <c r="E50" s="258">
        <f>-'Prévision P&amp;L &amp; CF'!E47</f>
        <v>16.656547464499965</v>
      </c>
      <c r="F50" s="258">
        <f>-'Prévision P&amp;L &amp; CF'!F47</f>
        <v>11.993578998982478</v>
      </c>
      <c r="G50" s="258">
        <f>-'Prévision P&amp;L &amp; CF'!G47</f>
        <v>10.879623613078678</v>
      </c>
      <c r="H50" s="258">
        <f>-'Prévision P&amp;L &amp; CF'!H47</f>
        <v>10.596240502124829</v>
      </c>
      <c r="I50" s="258">
        <f>-'Prévision P&amp;L &amp; CF'!I47</f>
        <v>10.075710695901449</v>
      </c>
      <c r="J50" s="258">
        <f>-'Prévision P&amp;L &amp; CF'!J47</f>
        <v>9.2613834355940838</v>
      </c>
      <c r="K50" s="258">
        <f>-'Prévision P&amp;L &amp; CF'!K47</f>
        <v>10.224483299513651</v>
      </c>
      <c r="L50" s="258">
        <f>-'Prévision P&amp;L &amp; CF'!L47</f>
        <v>10.574668552902679</v>
      </c>
      <c r="M50" s="292"/>
    </row>
    <row r="51" spans="1:13" x14ac:dyDescent="0.2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</row>
    <row r="52" spans="1:13" x14ac:dyDescent="0.2">
      <c r="A52" s="200" t="s">
        <v>213</v>
      </c>
      <c r="B52" s="201"/>
      <c r="C52" s="258">
        <f>C42+C46+C48+C50+C44</f>
        <v>9.9287950000000009</v>
      </c>
      <c r="D52" s="258">
        <f t="shared" ref="D52:K52" si="15">D42+D46+D48+D50+D44</f>
        <v>-2.7882934399999684</v>
      </c>
      <c r="E52" s="258">
        <f t="shared" si="15"/>
        <v>8.0027303244999715</v>
      </c>
      <c r="F52" s="258">
        <f t="shared" si="15"/>
        <v>3.0039618589824855</v>
      </c>
      <c r="G52" s="258">
        <f t="shared" si="15"/>
        <v>1.1069959730786785</v>
      </c>
      <c r="H52" s="258">
        <f t="shared" si="15"/>
        <v>15.794190012124826</v>
      </c>
      <c r="I52" s="258">
        <f t="shared" si="15"/>
        <v>-6.2699357890985645</v>
      </c>
      <c r="J52" s="258">
        <f t="shared" si="15"/>
        <v>4.7824197540940876</v>
      </c>
      <c r="K52" s="258">
        <f t="shared" si="15"/>
        <v>17.151797580463651</v>
      </c>
      <c r="L52" s="258">
        <f>L42+L46+L48+L50+L44</f>
        <v>-41.359982592432324</v>
      </c>
    </row>
    <row r="53" spans="1:13" x14ac:dyDescent="0.2">
      <c r="A53" s="255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</row>
    <row r="60" spans="1:13" x14ac:dyDescent="0.2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</row>
  </sheetData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75" orientation="landscape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0"/>
  <sheetViews>
    <sheetView showGridLines="0" workbookViewId="0">
      <selection activeCell="B1" sqref="B1"/>
    </sheetView>
  </sheetViews>
  <sheetFormatPr baseColWidth="10" defaultRowHeight="13" x14ac:dyDescent="0.15"/>
  <cols>
    <col min="1" max="1" width="16" bestFit="1" customWidth="1"/>
    <col min="2" max="2" width="23.5" customWidth="1"/>
    <col min="3" max="3" width="17.5" customWidth="1"/>
    <col min="4" max="4" width="17.1640625" customWidth="1"/>
    <col min="5" max="5" width="15.6640625" customWidth="1"/>
  </cols>
  <sheetData>
    <row r="1" spans="1:5" ht="23" x14ac:dyDescent="0.25">
      <c r="B1" s="146" t="s">
        <v>56</v>
      </c>
    </row>
    <row r="2" spans="1:5" ht="18" x14ac:dyDescent="0.2">
      <c r="B2" s="93"/>
    </row>
    <row r="4" spans="1:5" ht="19" x14ac:dyDescent="0.25">
      <c r="A4" s="84"/>
      <c r="B4" s="84"/>
      <c r="C4" s="84"/>
      <c r="D4" s="84"/>
      <c r="E4" s="84"/>
    </row>
    <row r="5" spans="1:5" ht="19" x14ac:dyDescent="0.25">
      <c r="A5" s="85" t="s">
        <v>51</v>
      </c>
      <c r="B5" s="85" t="s">
        <v>52</v>
      </c>
      <c r="C5" s="85" t="s">
        <v>54</v>
      </c>
      <c r="D5" s="85" t="s">
        <v>53</v>
      </c>
      <c r="E5" s="85" t="s">
        <v>55</v>
      </c>
    </row>
    <row r="6" spans="1:5" ht="19" x14ac:dyDescent="0.25">
      <c r="A6" s="86"/>
      <c r="B6" s="86"/>
      <c r="C6" s="86"/>
      <c r="D6" s="86"/>
      <c r="E6" s="86"/>
    </row>
    <row r="7" spans="1:5" ht="19" x14ac:dyDescent="0.25">
      <c r="A7" s="85"/>
      <c r="B7" s="85"/>
      <c r="C7" s="85"/>
      <c r="D7" s="85"/>
      <c r="E7" s="85"/>
    </row>
    <row r="8" spans="1:5" ht="19" x14ac:dyDescent="0.25">
      <c r="A8" s="87">
        <v>31563</v>
      </c>
      <c r="B8" s="282">
        <v>-100000</v>
      </c>
      <c r="C8" s="88"/>
      <c r="D8" s="282"/>
      <c r="E8" s="282">
        <f t="shared" ref="E8:E17" si="0">B8+D8</f>
        <v>-100000</v>
      </c>
    </row>
    <row r="9" spans="1:5" ht="19" x14ac:dyDescent="0.25">
      <c r="A9" s="87">
        <f>367+A8</f>
        <v>31930</v>
      </c>
      <c r="B9" s="282"/>
      <c r="C9" s="89">
        <v>0.13100000000000001</v>
      </c>
      <c r="D9" s="282">
        <f>-C9*B$8</f>
        <v>13100</v>
      </c>
      <c r="E9" s="282">
        <f t="shared" si="0"/>
        <v>13100</v>
      </c>
    </row>
    <row r="10" spans="1:5" ht="19" x14ac:dyDescent="0.25">
      <c r="A10" s="87">
        <f t="shared" ref="A10:A17" si="1">365+A9</f>
        <v>32295</v>
      </c>
      <c r="B10" s="282"/>
      <c r="C10" s="89">
        <v>0.13100000000000001</v>
      </c>
      <c r="D10" s="282">
        <f t="shared" ref="D10:D17" si="2">-C10*B$8</f>
        <v>13100</v>
      </c>
      <c r="E10" s="282">
        <f t="shared" si="0"/>
        <v>13100</v>
      </c>
    </row>
    <row r="11" spans="1:5" ht="19" x14ac:dyDescent="0.25">
      <c r="A11" s="87">
        <f t="shared" si="1"/>
        <v>32660</v>
      </c>
      <c r="B11" s="282"/>
      <c r="C11" s="89">
        <v>0.13100000000000001</v>
      </c>
      <c r="D11" s="282">
        <f t="shared" si="2"/>
        <v>13100</v>
      </c>
      <c r="E11" s="282">
        <f t="shared" si="0"/>
        <v>13100</v>
      </c>
    </row>
    <row r="12" spans="1:5" ht="19" x14ac:dyDescent="0.25">
      <c r="A12" s="87">
        <f t="shared" si="1"/>
        <v>33025</v>
      </c>
      <c r="B12" s="282"/>
      <c r="C12" s="89">
        <v>0.158</v>
      </c>
      <c r="D12" s="282">
        <f t="shared" si="2"/>
        <v>15800</v>
      </c>
      <c r="E12" s="282">
        <f t="shared" si="0"/>
        <v>15800</v>
      </c>
    </row>
    <row r="13" spans="1:5" ht="19" x14ac:dyDescent="0.25">
      <c r="A13" s="87">
        <f t="shared" si="1"/>
        <v>33390</v>
      </c>
      <c r="B13" s="282"/>
      <c r="C13" s="89">
        <v>0.158</v>
      </c>
      <c r="D13" s="282">
        <f t="shared" si="2"/>
        <v>15800</v>
      </c>
      <c r="E13" s="282">
        <f t="shared" si="0"/>
        <v>15800</v>
      </c>
    </row>
    <row r="14" spans="1:5" ht="19" x14ac:dyDescent="0.25">
      <c r="A14" s="87">
        <f t="shared" si="1"/>
        <v>33755</v>
      </c>
      <c r="B14" s="282"/>
      <c r="C14" s="89">
        <v>0.158</v>
      </c>
      <c r="D14" s="282">
        <f t="shared" si="2"/>
        <v>15800</v>
      </c>
      <c r="E14" s="282">
        <f t="shared" si="0"/>
        <v>15800</v>
      </c>
    </row>
    <row r="15" spans="1:5" ht="19" x14ac:dyDescent="0.25">
      <c r="A15" s="87">
        <f t="shared" si="1"/>
        <v>34120</v>
      </c>
      <c r="B15" s="282"/>
      <c r="C15" s="89">
        <v>0.158</v>
      </c>
      <c r="D15" s="282">
        <f t="shared" si="2"/>
        <v>15800</v>
      </c>
      <c r="E15" s="282">
        <f t="shared" si="0"/>
        <v>15800</v>
      </c>
    </row>
    <row r="16" spans="1:5" ht="19" x14ac:dyDescent="0.25">
      <c r="A16" s="87">
        <f t="shared" si="1"/>
        <v>34485</v>
      </c>
      <c r="B16" s="282"/>
      <c r="C16" s="89">
        <v>0.158</v>
      </c>
      <c r="D16" s="282">
        <f t="shared" si="2"/>
        <v>15800</v>
      </c>
      <c r="E16" s="282">
        <f t="shared" si="0"/>
        <v>15800</v>
      </c>
    </row>
    <row r="17" spans="1:5" ht="19" x14ac:dyDescent="0.25">
      <c r="A17" s="87">
        <f t="shared" si="1"/>
        <v>34850</v>
      </c>
      <c r="B17" s="282">
        <v>143000</v>
      </c>
      <c r="C17" s="89">
        <v>0.158</v>
      </c>
      <c r="D17" s="282">
        <f t="shared" si="2"/>
        <v>15800</v>
      </c>
      <c r="E17" s="282">
        <f t="shared" si="0"/>
        <v>158800</v>
      </c>
    </row>
    <row r="18" spans="1:5" ht="19" x14ac:dyDescent="0.25">
      <c r="A18" s="86"/>
      <c r="B18" s="86"/>
      <c r="C18" s="86"/>
      <c r="D18" s="86"/>
      <c r="E18" s="86"/>
    </row>
    <row r="20" spans="1:5" ht="20" x14ac:dyDescent="0.25">
      <c r="B20" s="90" t="s">
        <v>57</v>
      </c>
      <c r="C20" s="91"/>
      <c r="D20" s="92">
        <f>IRR(E8:E17,15%)</f>
        <v>0.16832205553893775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0" orientation="landscape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3"/>
  <sheetViews>
    <sheetView showGridLines="0" workbookViewId="0">
      <selection activeCell="B1" sqref="B1"/>
    </sheetView>
  </sheetViews>
  <sheetFormatPr baseColWidth="10" defaultRowHeight="13" x14ac:dyDescent="0.15"/>
  <cols>
    <col min="1" max="1" width="21.33203125" customWidth="1"/>
    <col min="2" max="2" width="17" customWidth="1"/>
    <col min="3" max="4" width="16.33203125" customWidth="1"/>
    <col min="5" max="5" width="12.33203125" customWidth="1"/>
  </cols>
  <sheetData>
    <row r="1" spans="1:7" ht="24" x14ac:dyDescent="0.3">
      <c r="A1" s="34"/>
      <c r="B1" s="145" t="s">
        <v>4</v>
      </c>
      <c r="C1" s="6"/>
      <c r="D1" s="6"/>
      <c r="G1" s="6"/>
    </row>
    <row r="2" spans="1:7" ht="14" x14ac:dyDescent="0.2">
      <c r="A2" s="34"/>
      <c r="B2" s="4"/>
      <c r="C2" s="4"/>
      <c r="D2" s="4"/>
      <c r="E2" s="4"/>
      <c r="F2" s="4"/>
      <c r="G2" s="4"/>
    </row>
    <row r="3" spans="1:7" ht="14" x14ac:dyDescent="0.2">
      <c r="A3" s="34"/>
      <c r="B3" s="4"/>
      <c r="C3" s="4"/>
      <c r="D3" s="4"/>
      <c r="E3" s="4"/>
      <c r="F3" s="4"/>
      <c r="G3" s="4"/>
    </row>
    <row r="4" spans="1:7" ht="19" x14ac:dyDescent="0.25">
      <c r="A4" s="7"/>
      <c r="B4" s="127"/>
      <c r="C4" s="9"/>
      <c r="D4" s="80"/>
      <c r="E4" s="4"/>
      <c r="F4" s="4"/>
      <c r="G4" s="4"/>
    </row>
    <row r="5" spans="1:7" ht="19" x14ac:dyDescent="0.25">
      <c r="A5" s="12" t="s">
        <v>67</v>
      </c>
      <c r="C5" s="94">
        <v>885</v>
      </c>
      <c r="D5" s="15" t="s">
        <v>72</v>
      </c>
    </row>
    <row r="6" spans="1:7" ht="19" x14ac:dyDescent="0.25">
      <c r="A6" s="12"/>
      <c r="C6" s="94"/>
      <c r="D6" s="23"/>
    </row>
    <row r="7" spans="1:7" ht="19" x14ac:dyDescent="0.25">
      <c r="A7" s="12" t="s">
        <v>68</v>
      </c>
      <c r="C7" s="94">
        <v>185</v>
      </c>
      <c r="D7" s="15" t="s">
        <v>73</v>
      </c>
      <c r="E7" s="4"/>
      <c r="F7" s="4"/>
      <c r="G7" s="4"/>
    </row>
    <row r="8" spans="1:7" ht="19" x14ac:dyDescent="0.25">
      <c r="A8" s="12"/>
      <c r="C8" s="94"/>
      <c r="D8" s="23"/>
      <c r="E8" s="4"/>
      <c r="F8" s="4"/>
      <c r="G8" s="4"/>
    </row>
    <row r="9" spans="1:7" ht="19" x14ac:dyDescent="0.25">
      <c r="A9" s="12" t="s">
        <v>69</v>
      </c>
      <c r="C9" s="303">
        <v>1600000</v>
      </c>
      <c r="D9" s="15" t="s">
        <v>73</v>
      </c>
      <c r="E9" s="4"/>
      <c r="F9" s="4"/>
      <c r="G9" s="4"/>
    </row>
    <row r="10" spans="1:7" ht="19" x14ac:dyDescent="0.25">
      <c r="A10" s="12"/>
      <c r="C10" s="294"/>
      <c r="D10" s="23"/>
      <c r="E10" s="4"/>
      <c r="F10" s="4"/>
      <c r="G10" s="4"/>
    </row>
    <row r="11" spans="1:7" ht="19" x14ac:dyDescent="0.25">
      <c r="A11" s="12" t="s">
        <v>70</v>
      </c>
      <c r="C11" s="294">
        <f>C5*C7</f>
        <v>163725</v>
      </c>
      <c r="D11" s="15" t="s">
        <v>73</v>
      </c>
      <c r="E11" s="4"/>
      <c r="F11" s="4"/>
      <c r="G11" s="4"/>
    </row>
    <row r="12" spans="1:7" ht="19" x14ac:dyDescent="0.25">
      <c r="A12" s="12"/>
      <c r="C12" s="294"/>
      <c r="D12" s="23"/>
      <c r="E12" s="4"/>
      <c r="F12" s="4"/>
      <c r="G12" s="4"/>
    </row>
    <row r="13" spans="1:7" ht="19" x14ac:dyDescent="0.25">
      <c r="A13" s="12" t="s">
        <v>71</v>
      </c>
      <c r="C13" s="303">
        <f>C9+C11</f>
        <v>1763725</v>
      </c>
      <c r="D13" s="15" t="s">
        <v>73</v>
      </c>
      <c r="E13" s="4"/>
      <c r="F13" s="4"/>
      <c r="G13" s="4"/>
    </row>
    <row r="14" spans="1:7" ht="19" x14ac:dyDescent="0.25">
      <c r="A14" s="18"/>
      <c r="B14" s="131"/>
      <c r="C14" s="295"/>
      <c r="D14" s="33"/>
      <c r="E14" s="4"/>
      <c r="F14" s="4"/>
      <c r="G14" s="4"/>
    </row>
    <row r="15" spans="1:7" ht="14" x14ac:dyDescent="0.2">
      <c r="A15" s="34"/>
      <c r="B15" s="296"/>
      <c r="C15" s="4"/>
      <c r="D15" s="4"/>
      <c r="E15" s="4"/>
      <c r="F15" s="4"/>
      <c r="G15" s="4"/>
    </row>
    <row r="16" spans="1:7" ht="19" x14ac:dyDescent="0.25">
      <c r="A16" s="7"/>
      <c r="B16" s="297"/>
      <c r="C16" s="10"/>
      <c r="D16" s="10"/>
      <c r="E16" s="10"/>
      <c r="F16" s="80"/>
      <c r="G16" s="4"/>
    </row>
    <row r="17" spans="1:7" ht="19" x14ac:dyDescent="0.25">
      <c r="A17" s="103" t="s">
        <v>61</v>
      </c>
      <c r="B17" s="294"/>
      <c r="C17" s="6"/>
      <c r="D17" s="104" t="s">
        <v>62</v>
      </c>
      <c r="E17" s="6"/>
      <c r="F17" s="23"/>
      <c r="G17" s="4"/>
    </row>
    <row r="18" spans="1:7" ht="19" x14ac:dyDescent="0.25">
      <c r="A18" s="12"/>
      <c r="B18" s="294"/>
      <c r="C18" s="6"/>
      <c r="E18" s="6"/>
      <c r="F18" s="23"/>
      <c r="G18" s="4"/>
    </row>
    <row r="19" spans="1:7" ht="19" x14ac:dyDescent="0.25">
      <c r="A19" s="105" t="s">
        <v>63</v>
      </c>
      <c r="B19" s="294">
        <f>Evaluation!I36+'Prévision Bilan'!L$19-'Prévision Bilan'!L$30</f>
        <v>1412.3152181701175</v>
      </c>
      <c r="C19" s="14" t="s">
        <v>33</v>
      </c>
      <c r="D19" s="94">
        <f>B19*1000000/C$13</f>
        <v>800.75704442025688</v>
      </c>
      <c r="E19" s="14" t="s">
        <v>74</v>
      </c>
      <c r="F19" s="23"/>
      <c r="G19" s="4"/>
    </row>
    <row r="20" spans="1:7" ht="19" x14ac:dyDescent="0.25">
      <c r="A20" s="105" t="s">
        <v>65</v>
      </c>
      <c r="B20" s="294">
        <f>Evaluation!I37+'Prévision Bilan'!L$19-'Prévision Bilan'!L$30</f>
        <v>1262.3406107062187</v>
      </c>
      <c r="C20" s="14" t="s">
        <v>33</v>
      </c>
      <c r="D20" s="94">
        <f>B20*1000000/C$13</f>
        <v>715.724169417692</v>
      </c>
      <c r="E20" s="14" t="s">
        <v>74</v>
      </c>
      <c r="F20" s="23"/>
      <c r="G20" s="4"/>
    </row>
    <row r="21" spans="1:7" ht="19" x14ac:dyDescent="0.25">
      <c r="A21" s="105" t="s">
        <v>66</v>
      </c>
      <c r="B21" s="294">
        <f>Evaluation!I38+'Prévision Bilan'!L$19-'Prévision Bilan'!L$30</f>
        <v>1141.1542891779532</v>
      </c>
      <c r="C21" s="14" t="s">
        <v>33</v>
      </c>
      <c r="D21" s="94">
        <f>B21*1000000/C$13</f>
        <v>647.01372899854186</v>
      </c>
      <c r="E21" s="14" t="s">
        <v>74</v>
      </c>
      <c r="F21" s="23"/>
      <c r="G21" s="4"/>
    </row>
    <row r="22" spans="1:7" ht="20" thickBot="1" x14ac:dyDescent="0.3">
      <c r="A22" s="106"/>
      <c r="B22" s="101"/>
      <c r="C22" s="21"/>
      <c r="D22" s="101"/>
      <c r="E22" s="21"/>
      <c r="F22" s="33"/>
      <c r="G22" s="4"/>
    </row>
    <row r="23" spans="1:7" ht="20" thickTop="1" x14ac:dyDescent="0.25">
      <c r="A23" s="304" t="s">
        <v>58</v>
      </c>
      <c r="B23" s="305" t="s">
        <v>59</v>
      </c>
      <c r="C23" s="306">
        <f>Evaluation!G29</f>
        <v>0.15</v>
      </c>
      <c r="D23" s="94"/>
      <c r="E23" s="6"/>
      <c r="F23" s="6"/>
      <c r="G23" s="4"/>
    </row>
    <row r="24" spans="1:7" ht="20" thickBot="1" x14ac:dyDescent="0.3">
      <c r="A24" s="307"/>
      <c r="B24" s="308" t="s">
        <v>60</v>
      </c>
      <c r="C24" s="309">
        <f>Evaluation!F36</f>
        <v>0.05</v>
      </c>
      <c r="D24" s="94"/>
      <c r="E24" s="6"/>
      <c r="F24" s="6"/>
      <c r="G24" s="4"/>
    </row>
    <row r="25" spans="1:7" ht="20" thickTop="1" x14ac:dyDescent="0.25">
      <c r="D25" s="94"/>
      <c r="E25" s="6"/>
      <c r="F25" s="6"/>
      <c r="G25" s="4"/>
    </row>
    <row r="26" spans="1:7" ht="16" x14ac:dyDescent="0.2">
      <c r="D26" s="108"/>
      <c r="E26" s="110"/>
      <c r="F26" s="111"/>
      <c r="G26" s="112"/>
    </row>
    <row r="27" spans="1:7" ht="16" x14ac:dyDescent="0.2">
      <c r="A27" s="113"/>
      <c r="B27" s="109"/>
      <c r="C27" s="109"/>
      <c r="D27" s="109"/>
      <c r="E27" s="114"/>
      <c r="F27" s="299" t="s">
        <v>50</v>
      </c>
      <c r="G27" s="115"/>
    </row>
    <row r="28" spans="1:7" ht="16" x14ac:dyDescent="0.2">
      <c r="A28" s="113"/>
      <c r="B28" s="109"/>
      <c r="C28" s="109"/>
      <c r="D28" s="109"/>
      <c r="E28" s="116"/>
      <c r="F28" s="117"/>
      <c r="G28" s="118"/>
    </row>
    <row r="29" spans="1:7" ht="16" x14ac:dyDescent="0.2">
      <c r="A29" s="119"/>
      <c r="B29" s="119"/>
      <c r="C29" s="119"/>
      <c r="D29" s="119"/>
      <c r="E29" s="119"/>
      <c r="F29" s="119"/>
      <c r="G29" s="119"/>
    </row>
    <row r="30" spans="1:7" ht="16" x14ac:dyDescent="0.2">
      <c r="A30" s="120" t="s">
        <v>51</v>
      </c>
      <c r="B30" s="120" t="s">
        <v>235</v>
      </c>
      <c r="C30" s="120" t="s">
        <v>54</v>
      </c>
      <c r="D30" s="120" t="s">
        <v>53</v>
      </c>
      <c r="E30" s="120" t="s">
        <v>1</v>
      </c>
      <c r="F30" s="120" t="s">
        <v>2</v>
      </c>
      <c r="G30" s="120" t="s">
        <v>3</v>
      </c>
    </row>
    <row r="31" spans="1:7" ht="16" x14ac:dyDescent="0.2">
      <c r="A31" s="121"/>
      <c r="B31" s="121"/>
      <c r="C31" s="121"/>
      <c r="D31" s="121"/>
      <c r="E31" s="121"/>
      <c r="F31" s="121"/>
      <c r="G31" s="121"/>
    </row>
    <row r="32" spans="1:7" ht="16" x14ac:dyDescent="0.2">
      <c r="A32" s="120"/>
      <c r="B32" s="120"/>
      <c r="C32" s="120"/>
      <c r="D32" s="120"/>
      <c r="E32" s="120"/>
      <c r="F32" s="120"/>
      <c r="G32" s="120"/>
    </row>
    <row r="33" spans="1:7" ht="16" x14ac:dyDescent="0.2">
      <c r="A33" s="298">
        <v>31563</v>
      </c>
      <c r="B33" s="293">
        <v>-26000</v>
      </c>
      <c r="C33" s="293"/>
      <c r="D33" s="293"/>
      <c r="E33" s="293">
        <f t="shared" ref="E33:E41" si="0">B33+D33</f>
        <v>-26000</v>
      </c>
      <c r="F33" s="293">
        <f t="shared" ref="F33:F41" si="1">E33</f>
        <v>-26000</v>
      </c>
      <c r="G33" s="293">
        <f t="shared" ref="G33:G41" si="2">E33</f>
        <v>-26000</v>
      </c>
    </row>
    <row r="34" spans="1:7" ht="16" x14ac:dyDescent="0.2">
      <c r="A34" s="298">
        <f>367+A33</f>
        <v>31930</v>
      </c>
      <c r="B34" s="293"/>
      <c r="C34" s="362">
        <v>0.01</v>
      </c>
      <c r="D34" s="293">
        <f>-B$33*C34</f>
        <v>260</v>
      </c>
      <c r="E34" s="293">
        <f t="shared" si="0"/>
        <v>260</v>
      </c>
      <c r="F34" s="293">
        <f t="shared" si="1"/>
        <v>260</v>
      </c>
      <c r="G34" s="293">
        <f t="shared" si="2"/>
        <v>260</v>
      </c>
    </row>
    <row r="35" spans="1:7" ht="16" x14ac:dyDescent="0.2">
      <c r="A35" s="298">
        <f t="shared" ref="A35:A42" si="3">365+A34</f>
        <v>32295</v>
      </c>
      <c r="B35" s="293"/>
      <c r="C35" s="362">
        <v>0.01</v>
      </c>
      <c r="D35" s="293">
        <f t="shared" ref="D35:D42" si="4">-B$33*C35</f>
        <v>260</v>
      </c>
      <c r="E35" s="293">
        <f t="shared" si="0"/>
        <v>260</v>
      </c>
      <c r="F35" s="293">
        <f t="shared" si="1"/>
        <v>260</v>
      </c>
      <c r="G35" s="293">
        <f t="shared" si="2"/>
        <v>260</v>
      </c>
    </row>
    <row r="36" spans="1:7" ht="16" x14ac:dyDescent="0.2">
      <c r="A36" s="298">
        <f t="shared" si="3"/>
        <v>32660</v>
      </c>
      <c r="B36" s="293"/>
      <c r="C36" s="362">
        <v>0.01</v>
      </c>
      <c r="D36" s="293">
        <f t="shared" si="4"/>
        <v>260</v>
      </c>
      <c r="E36" s="293">
        <f t="shared" si="0"/>
        <v>260</v>
      </c>
      <c r="F36" s="293">
        <f t="shared" si="1"/>
        <v>260</v>
      </c>
      <c r="G36" s="293">
        <f t="shared" si="2"/>
        <v>260</v>
      </c>
    </row>
    <row r="37" spans="1:7" ht="16" x14ac:dyDescent="0.2">
      <c r="A37" s="298">
        <f t="shared" si="3"/>
        <v>33025</v>
      </c>
      <c r="B37" s="293"/>
      <c r="C37" s="362">
        <v>0.01</v>
      </c>
      <c r="D37" s="293">
        <f t="shared" si="4"/>
        <v>260</v>
      </c>
      <c r="E37" s="293">
        <f t="shared" si="0"/>
        <v>260</v>
      </c>
      <c r="F37" s="293">
        <f t="shared" si="1"/>
        <v>260</v>
      </c>
      <c r="G37" s="293">
        <f t="shared" si="2"/>
        <v>260</v>
      </c>
    </row>
    <row r="38" spans="1:7" ht="16" x14ac:dyDescent="0.2">
      <c r="A38" s="298">
        <f t="shared" si="3"/>
        <v>33390</v>
      </c>
      <c r="B38" s="293"/>
      <c r="C38" s="362">
        <v>0.01</v>
      </c>
      <c r="D38" s="293">
        <f t="shared" si="4"/>
        <v>260</v>
      </c>
      <c r="E38" s="293">
        <f t="shared" si="0"/>
        <v>260</v>
      </c>
      <c r="F38" s="293">
        <f t="shared" si="1"/>
        <v>260</v>
      </c>
      <c r="G38" s="293">
        <f t="shared" si="2"/>
        <v>260</v>
      </c>
    </row>
    <row r="39" spans="1:7" ht="16" x14ac:dyDescent="0.2">
      <c r="A39" s="298">
        <f t="shared" si="3"/>
        <v>33755</v>
      </c>
      <c r="B39" s="293"/>
      <c r="C39" s="362">
        <v>0.01</v>
      </c>
      <c r="D39" s="293">
        <f t="shared" si="4"/>
        <v>260</v>
      </c>
      <c r="E39" s="293">
        <f t="shared" si="0"/>
        <v>260</v>
      </c>
      <c r="F39" s="293">
        <f t="shared" si="1"/>
        <v>260</v>
      </c>
      <c r="G39" s="293">
        <f t="shared" si="2"/>
        <v>260</v>
      </c>
    </row>
    <row r="40" spans="1:7" ht="16" x14ac:dyDescent="0.2">
      <c r="A40" s="298">
        <f t="shared" si="3"/>
        <v>34120</v>
      </c>
      <c r="B40" s="293"/>
      <c r="C40" s="362">
        <v>0.01</v>
      </c>
      <c r="D40" s="293">
        <f t="shared" si="4"/>
        <v>260</v>
      </c>
      <c r="E40" s="293">
        <f t="shared" si="0"/>
        <v>260</v>
      </c>
      <c r="F40" s="293">
        <f t="shared" si="1"/>
        <v>260</v>
      </c>
      <c r="G40" s="293">
        <f t="shared" si="2"/>
        <v>260</v>
      </c>
    </row>
    <row r="41" spans="1:7" ht="16" x14ac:dyDescent="0.2">
      <c r="A41" s="298">
        <f t="shared" si="3"/>
        <v>34485</v>
      </c>
      <c r="B41" s="293"/>
      <c r="C41" s="362">
        <v>0.01</v>
      </c>
      <c r="D41" s="293">
        <f t="shared" si="4"/>
        <v>260</v>
      </c>
      <c r="E41" s="293">
        <f t="shared" si="0"/>
        <v>260</v>
      </c>
      <c r="F41" s="293">
        <f t="shared" si="1"/>
        <v>260</v>
      </c>
      <c r="G41" s="293">
        <f t="shared" si="2"/>
        <v>260</v>
      </c>
    </row>
    <row r="42" spans="1:7" ht="16" x14ac:dyDescent="0.2">
      <c r="A42" s="298">
        <f t="shared" si="3"/>
        <v>34850</v>
      </c>
      <c r="B42" s="293"/>
      <c r="C42" s="362">
        <v>0.01</v>
      </c>
      <c r="D42" s="293">
        <f t="shared" si="4"/>
        <v>260</v>
      </c>
      <c r="E42" s="293">
        <f>B42+D42+$C7*D19</f>
        <v>148400.05321774751</v>
      </c>
      <c r="F42" s="293">
        <f>D42+$C7*D20</f>
        <v>132668.97134227303</v>
      </c>
      <c r="G42" s="293">
        <f>D42+$C7*D21</f>
        <v>119957.53986473025</v>
      </c>
    </row>
    <row r="43" spans="1:7" ht="16" x14ac:dyDescent="0.2">
      <c r="A43" s="121"/>
      <c r="B43" s="121"/>
      <c r="C43" s="121"/>
      <c r="D43" s="121"/>
      <c r="E43" s="121"/>
      <c r="F43" s="121"/>
      <c r="G43" s="121"/>
    </row>
    <row r="44" spans="1:7" ht="14" x14ac:dyDescent="0.2">
      <c r="A44" s="125"/>
      <c r="B44" s="125"/>
      <c r="C44" s="144"/>
      <c r="D44" s="310"/>
      <c r="E44" s="300"/>
      <c r="F44" s="47"/>
      <c r="G44" s="47"/>
    </row>
    <row r="45" spans="1:7" ht="19" x14ac:dyDescent="0.25">
      <c r="A45" s="125"/>
      <c r="B45" s="125"/>
      <c r="C45" s="105" t="s">
        <v>234</v>
      </c>
      <c r="D45" s="311" t="s">
        <v>233</v>
      </c>
      <c r="E45" s="302">
        <f>IRR(E33:E42,15%)</f>
        <v>0.21853412996999344</v>
      </c>
      <c r="F45" s="302">
        <f>IRR(F33:F42,15%)</f>
        <v>0.20368031989880997</v>
      </c>
      <c r="G45" s="302">
        <f>IRR(G33:G42,15%)</f>
        <v>0.19049546008720353</v>
      </c>
    </row>
    <row r="46" spans="1:7" ht="14" x14ac:dyDescent="0.2">
      <c r="A46" s="125"/>
      <c r="B46" s="125"/>
      <c r="C46" s="216"/>
      <c r="D46" s="312"/>
      <c r="E46" s="301"/>
      <c r="F46" s="56"/>
      <c r="G46" s="56"/>
    </row>
    <row r="47" spans="1:7" ht="14" x14ac:dyDescent="0.2">
      <c r="A47" s="125"/>
    </row>
    <row r="48" spans="1:7" ht="14" x14ac:dyDescent="0.2">
      <c r="A48" s="125"/>
    </row>
    <row r="49" spans="1:1" ht="14" x14ac:dyDescent="0.2">
      <c r="A49" s="34"/>
    </row>
    <row r="50" spans="1:1" ht="14" x14ac:dyDescent="0.2">
      <c r="A50" s="34"/>
    </row>
    <row r="51" spans="1:1" ht="14" x14ac:dyDescent="0.2">
      <c r="A51" s="34"/>
    </row>
    <row r="52" spans="1:1" ht="14" x14ac:dyDescent="0.2">
      <c r="A52" s="34"/>
    </row>
    <row r="53" spans="1:1" ht="14" x14ac:dyDescent="0.2">
      <c r="A53" s="34"/>
    </row>
  </sheetData>
  <phoneticPr fontId="3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0" scale="68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7"/>
  <sheetViews>
    <sheetView showGridLines="0" zoomScaleNormal="100" workbookViewId="0">
      <selection activeCell="I44" sqref="I44"/>
    </sheetView>
  </sheetViews>
  <sheetFormatPr baseColWidth="10" defaultRowHeight="13" x14ac:dyDescent="0.15"/>
  <cols>
    <col min="1" max="1" width="23.1640625" customWidth="1"/>
    <col min="2" max="2" width="14" customWidth="1"/>
    <col min="3" max="3" width="17.33203125" customWidth="1"/>
    <col min="4" max="4" width="13.83203125" customWidth="1"/>
    <col min="5" max="5" width="11.83203125" customWidth="1"/>
    <col min="7" max="7" width="15.5" customWidth="1"/>
  </cols>
  <sheetData>
    <row r="1" spans="1:7" ht="23" x14ac:dyDescent="0.25">
      <c r="A1" s="146" t="s">
        <v>9</v>
      </c>
      <c r="B1" s="93"/>
      <c r="C1" s="93"/>
    </row>
    <row r="4" spans="1:7" ht="19" x14ac:dyDescent="0.25">
      <c r="A4" s="7"/>
      <c r="B4" s="127"/>
      <c r="C4" s="9"/>
      <c r="D4" s="80"/>
      <c r="E4" s="4"/>
      <c r="F4" s="4"/>
      <c r="G4" s="4"/>
    </row>
    <row r="5" spans="1:7" ht="19" x14ac:dyDescent="0.25">
      <c r="A5" s="12" t="s">
        <v>5</v>
      </c>
      <c r="C5" s="303">
        <v>1600000</v>
      </c>
      <c r="D5" s="15" t="s">
        <v>73</v>
      </c>
    </row>
    <row r="6" spans="1:7" ht="19" x14ac:dyDescent="0.25">
      <c r="A6" s="12"/>
      <c r="C6" s="303"/>
      <c r="D6" s="23"/>
    </row>
    <row r="7" spans="1:7" ht="19" x14ac:dyDescent="0.25">
      <c r="A7" s="12" t="s">
        <v>6</v>
      </c>
      <c r="C7" s="303">
        <v>165020</v>
      </c>
      <c r="D7" s="15" t="s">
        <v>73</v>
      </c>
      <c r="E7" s="4"/>
      <c r="F7" s="4"/>
      <c r="G7" s="4"/>
    </row>
    <row r="8" spans="1:7" ht="19" x14ac:dyDescent="0.25">
      <c r="A8" s="12"/>
      <c r="C8" s="303"/>
      <c r="D8" s="23"/>
      <c r="E8" s="4"/>
      <c r="F8" s="4"/>
      <c r="G8" s="4"/>
    </row>
    <row r="9" spans="1:7" ht="19" x14ac:dyDescent="0.25">
      <c r="A9" s="12" t="s">
        <v>71</v>
      </c>
      <c r="C9" s="303">
        <f>C5+C7</f>
        <v>1765020</v>
      </c>
      <c r="D9" s="15" t="s">
        <v>73</v>
      </c>
      <c r="E9" s="4"/>
      <c r="F9" s="4"/>
      <c r="G9" s="4"/>
    </row>
    <row r="10" spans="1:7" ht="19" x14ac:dyDescent="0.25">
      <c r="A10" s="12"/>
      <c r="C10" s="94"/>
      <c r="D10" s="15"/>
      <c r="E10" s="4"/>
      <c r="F10" s="4"/>
      <c r="G10" s="4"/>
    </row>
    <row r="11" spans="1:7" ht="19" x14ac:dyDescent="0.25">
      <c r="A11" s="12" t="s">
        <v>7</v>
      </c>
      <c r="C11" s="94">
        <v>160</v>
      </c>
      <c r="D11" s="15" t="s">
        <v>33</v>
      </c>
      <c r="E11" s="4"/>
      <c r="F11" s="4"/>
      <c r="G11" s="4"/>
    </row>
    <row r="12" spans="1:7" ht="19" x14ac:dyDescent="0.25">
      <c r="A12" s="12"/>
      <c r="C12" s="94"/>
      <c r="D12" s="15"/>
      <c r="E12" s="4"/>
      <c r="F12" s="4"/>
      <c r="G12" s="4"/>
    </row>
    <row r="13" spans="1:7" ht="19" x14ac:dyDescent="0.25">
      <c r="A13" s="12" t="s">
        <v>8</v>
      </c>
      <c r="C13" s="94">
        <f>C11*1000000/C5</f>
        <v>100</v>
      </c>
      <c r="D13" s="15" t="s">
        <v>74</v>
      </c>
      <c r="E13" s="4"/>
      <c r="F13" s="4"/>
      <c r="G13" s="4"/>
    </row>
    <row r="14" spans="1:7" ht="19" x14ac:dyDescent="0.25">
      <c r="A14" s="18"/>
      <c r="B14" s="131"/>
      <c r="C14" s="101"/>
      <c r="D14" s="33"/>
      <c r="E14" s="4"/>
      <c r="F14" s="4"/>
      <c r="G14" s="4"/>
    </row>
    <row r="15" spans="1:7" ht="14" x14ac:dyDescent="0.2">
      <c r="A15" s="34"/>
      <c r="B15" s="102"/>
      <c r="C15" s="4"/>
      <c r="D15" s="4"/>
      <c r="E15" s="4"/>
      <c r="F15" s="4"/>
      <c r="G15" s="4"/>
    </row>
    <row r="16" spans="1:7" ht="19" x14ac:dyDescent="0.25">
      <c r="A16" s="7"/>
      <c r="B16" s="9"/>
      <c r="C16" s="10"/>
      <c r="D16" s="10"/>
      <c r="E16" s="10"/>
      <c r="F16" s="80"/>
      <c r="G16" s="4"/>
    </row>
    <row r="17" spans="1:7" ht="19" x14ac:dyDescent="0.25">
      <c r="A17" s="103" t="s">
        <v>61</v>
      </c>
      <c r="B17" s="14"/>
      <c r="C17" s="6"/>
      <c r="D17" s="104" t="s">
        <v>62</v>
      </c>
      <c r="E17" s="6"/>
      <c r="F17" s="23"/>
      <c r="G17" s="4"/>
    </row>
    <row r="18" spans="1:7" ht="19" x14ac:dyDescent="0.25">
      <c r="A18" s="12"/>
      <c r="B18" s="14"/>
      <c r="C18" s="6"/>
      <c r="E18" s="6"/>
      <c r="F18" s="23"/>
      <c r="G18" s="4"/>
    </row>
    <row r="19" spans="1:7" ht="19" x14ac:dyDescent="0.25">
      <c r="A19" s="105" t="s">
        <v>63</v>
      </c>
      <c r="B19" s="94">
        <f>'Obligation remboursabe'!B19</f>
        <v>1412.3152181701175</v>
      </c>
      <c r="C19" s="14" t="s">
        <v>33</v>
      </c>
      <c r="D19" s="94">
        <f>'Obligation remboursabe'!D19</f>
        <v>800.75704442025688</v>
      </c>
      <c r="E19" s="14" t="s">
        <v>64</v>
      </c>
      <c r="F19" s="23"/>
      <c r="G19" s="4"/>
    </row>
    <row r="20" spans="1:7" ht="19" x14ac:dyDescent="0.25">
      <c r="A20" s="105" t="s">
        <v>65</v>
      </c>
      <c r="B20" s="94">
        <f>'Obligation remboursabe'!B20</f>
        <v>1262.3406107062187</v>
      </c>
      <c r="C20" s="14" t="s">
        <v>33</v>
      </c>
      <c r="D20" s="94">
        <f>'Obligation remboursabe'!D20</f>
        <v>715.724169417692</v>
      </c>
      <c r="E20" s="14" t="s">
        <v>64</v>
      </c>
      <c r="F20" s="23"/>
      <c r="G20" s="4"/>
    </row>
    <row r="21" spans="1:7" ht="19" x14ac:dyDescent="0.25">
      <c r="A21" s="105" t="s">
        <v>66</v>
      </c>
      <c r="B21" s="94">
        <f>'Obligation remboursabe'!B21</f>
        <v>1141.1542891779532</v>
      </c>
      <c r="C21" s="14" t="s">
        <v>33</v>
      </c>
      <c r="D21" s="94">
        <f>'Obligation remboursabe'!D21</f>
        <v>647.01372899854186</v>
      </c>
      <c r="E21" s="14" t="s">
        <v>64</v>
      </c>
      <c r="F21" s="23"/>
      <c r="G21" s="4"/>
    </row>
    <row r="22" spans="1:7" ht="20" thickBot="1" x14ac:dyDescent="0.3">
      <c r="A22" s="106"/>
      <c r="B22" s="101"/>
      <c r="C22" s="21"/>
      <c r="D22" s="101"/>
      <c r="E22" s="21"/>
      <c r="F22" s="33"/>
      <c r="G22" s="4"/>
    </row>
    <row r="23" spans="1:7" ht="20" thickTop="1" x14ac:dyDescent="0.25">
      <c r="A23" s="95" t="s">
        <v>58</v>
      </c>
      <c r="B23" s="96" t="s">
        <v>59</v>
      </c>
      <c r="C23" s="97">
        <f>Evaluation!G29</f>
        <v>0.15</v>
      </c>
      <c r="D23" s="94"/>
      <c r="E23" s="6"/>
      <c r="F23" s="6"/>
      <c r="G23" s="4"/>
    </row>
    <row r="24" spans="1:7" ht="20" thickBot="1" x14ac:dyDescent="0.3">
      <c r="A24" s="98"/>
      <c r="B24" s="99" t="s">
        <v>60</v>
      </c>
      <c r="C24" s="100">
        <f>Evaluation!F36</f>
        <v>0.05</v>
      </c>
      <c r="D24" s="94"/>
      <c r="E24" s="6"/>
      <c r="F24" s="6"/>
      <c r="G24" s="4"/>
    </row>
    <row r="25" spans="1:7" ht="20" thickTop="1" x14ac:dyDescent="0.25">
      <c r="A25" s="83"/>
      <c r="B25" s="94"/>
      <c r="C25" s="6"/>
      <c r="D25" s="94"/>
      <c r="E25" s="6"/>
      <c r="F25" s="6"/>
      <c r="G25" s="4"/>
    </row>
    <row r="26" spans="1:7" ht="16" x14ac:dyDescent="0.2">
      <c r="A26" s="107"/>
      <c r="B26" s="108"/>
      <c r="C26" s="108"/>
      <c r="D26" s="110"/>
      <c r="E26" s="111"/>
      <c r="F26" s="112"/>
    </row>
    <row r="27" spans="1:7" ht="16" x14ac:dyDescent="0.2">
      <c r="A27" s="113"/>
      <c r="B27" s="109"/>
      <c r="C27" s="109"/>
      <c r="D27" s="114"/>
      <c r="E27" s="299" t="s">
        <v>50</v>
      </c>
      <c r="F27" s="115"/>
    </row>
    <row r="28" spans="1:7" ht="16" x14ac:dyDescent="0.2">
      <c r="A28" s="113"/>
      <c r="B28" s="109"/>
      <c r="C28" s="109"/>
      <c r="D28" s="116"/>
      <c r="E28" s="117"/>
      <c r="F28" s="118"/>
    </row>
    <row r="29" spans="1:7" ht="16" x14ac:dyDescent="0.2">
      <c r="A29" s="119"/>
      <c r="B29" s="119"/>
      <c r="C29" s="119"/>
      <c r="D29" s="119"/>
      <c r="E29" s="119"/>
      <c r="F29" s="119"/>
    </row>
    <row r="30" spans="1:7" ht="16" x14ac:dyDescent="0.2">
      <c r="A30" s="120" t="s">
        <v>51</v>
      </c>
      <c r="B30" s="120" t="s">
        <v>0</v>
      </c>
      <c r="C30" s="120" t="s">
        <v>10</v>
      </c>
      <c r="D30" s="120" t="s">
        <v>1</v>
      </c>
      <c r="E30" s="120" t="s">
        <v>2</v>
      </c>
      <c r="F30" s="120" t="s">
        <v>3</v>
      </c>
    </row>
    <row r="31" spans="1:7" ht="16" x14ac:dyDescent="0.2">
      <c r="A31" s="120"/>
      <c r="B31" s="120"/>
      <c r="C31" s="120" t="s">
        <v>11</v>
      </c>
      <c r="D31" s="120"/>
      <c r="E31" s="120"/>
      <c r="F31" s="120"/>
    </row>
    <row r="32" spans="1:7" ht="16" x14ac:dyDescent="0.2">
      <c r="A32" s="121"/>
      <c r="B32" s="121"/>
      <c r="C32" s="121"/>
      <c r="D32" s="121"/>
      <c r="E32" s="121"/>
      <c r="F32" s="121"/>
    </row>
    <row r="33" spans="1:6" ht="16" x14ac:dyDescent="0.2">
      <c r="A33" s="120"/>
      <c r="B33" s="120"/>
      <c r="C33" s="120"/>
      <c r="D33" s="120"/>
      <c r="E33" s="120"/>
      <c r="F33" s="120"/>
    </row>
    <row r="34" spans="1:6" ht="16" x14ac:dyDescent="0.2">
      <c r="A34" s="122">
        <v>31563</v>
      </c>
      <c r="B34" s="123">
        <f>-C13</f>
        <v>-100</v>
      </c>
      <c r="C34" s="123"/>
      <c r="D34" s="123">
        <f t="shared" ref="D34:D42" si="0">B34+C34</f>
        <v>-100</v>
      </c>
      <c r="E34" s="123">
        <f t="shared" ref="E34:E42" si="1">D34</f>
        <v>-100</v>
      </c>
      <c r="F34" s="123">
        <f t="shared" ref="F34:F42" si="2">D34</f>
        <v>-100</v>
      </c>
    </row>
    <row r="35" spans="1:6" ht="16" x14ac:dyDescent="0.2">
      <c r="A35" s="122">
        <f>367+A34</f>
        <v>31930</v>
      </c>
      <c r="B35" s="123"/>
      <c r="C35" s="124">
        <v>0</v>
      </c>
      <c r="D35" s="123">
        <f t="shared" si="0"/>
        <v>0</v>
      </c>
      <c r="E35" s="123">
        <f t="shared" si="1"/>
        <v>0</v>
      </c>
      <c r="F35" s="123">
        <f t="shared" si="2"/>
        <v>0</v>
      </c>
    </row>
    <row r="36" spans="1:6" ht="16" x14ac:dyDescent="0.2">
      <c r="A36" s="122">
        <f t="shared" ref="A36:A43" si="3">365+A35</f>
        <v>32295</v>
      </c>
      <c r="B36" s="123"/>
      <c r="C36" s="124">
        <v>0</v>
      </c>
      <c r="D36" s="123">
        <f t="shared" si="0"/>
        <v>0</v>
      </c>
      <c r="E36" s="123">
        <f t="shared" si="1"/>
        <v>0</v>
      </c>
      <c r="F36" s="123">
        <f t="shared" si="2"/>
        <v>0</v>
      </c>
    </row>
    <row r="37" spans="1:6" ht="16" x14ac:dyDescent="0.2">
      <c r="A37" s="122">
        <f t="shared" si="3"/>
        <v>32660</v>
      </c>
      <c r="B37" s="123"/>
      <c r="C37" s="124">
        <v>0</v>
      </c>
      <c r="D37" s="123">
        <f t="shared" si="0"/>
        <v>0</v>
      </c>
      <c r="E37" s="123">
        <f t="shared" si="1"/>
        <v>0</v>
      </c>
      <c r="F37" s="123">
        <f t="shared" si="2"/>
        <v>0</v>
      </c>
    </row>
    <row r="38" spans="1:6" ht="16" x14ac:dyDescent="0.2">
      <c r="A38" s="122">
        <f t="shared" si="3"/>
        <v>33025</v>
      </c>
      <c r="B38" s="123"/>
      <c r="C38" s="124">
        <v>0</v>
      </c>
      <c r="D38" s="123">
        <f t="shared" si="0"/>
        <v>0</v>
      </c>
      <c r="E38" s="123">
        <f t="shared" si="1"/>
        <v>0</v>
      </c>
      <c r="F38" s="123">
        <f t="shared" si="2"/>
        <v>0</v>
      </c>
    </row>
    <row r="39" spans="1:6" ht="16" x14ac:dyDescent="0.2">
      <c r="A39" s="122">
        <f t="shared" si="3"/>
        <v>33390</v>
      </c>
      <c r="B39" s="123"/>
      <c r="C39" s="124">
        <v>0</v>
      </c>
      <c r="D39" s="123">
        <f t="shared" si="0"/>
        <v>0</v>
      </c>
      <c r="E39" s="123">
        <f t="shared" si="1"/>
        <v>0</v>
      </c>
      <c r="F39" s="123">
        <f t="shared" si="2"/>
        <v>0</v>
      </c>
    </row>
    <row r="40" spans="1:6" ht="16" x14ac:dyDescent="0.2">
      <c r="A40" s="122">
        <f t="shared" si="3"/>
        <v>33755</v>
      </c>
      <c r="B40" s="123"/>
      <c r="C40" s="124">
        <v>0</v>
      </c>
      <c r="D40" s="123">
        <f t="shared" si="0"/>
        <v>0</v>
      </c>
      <c r="E40" s="123">
        <f t="shared" si="1"/>
        <v>0</v>
      </c>
      <c r="F40" s="123">
        <f t="shared" si="2"/>
        <v>0</v>
      </c>
    </row>
    <row r="41" spans="1:6" ht="16" x14ac:dyDescent="0.2">
      <c r="A41" s="122">
        <f t="shared" si="3"/>
        <v>34120</v>
      </c>
      <c r="B41" s="123"/>
      <c r="C41" s="124">
        <v>0</v>
      </c>
      <c r="D41" s="123">
        <f t="shared" si="0"/>
        <v>0</v>
      </c>
      <c r="E41" s="123">
        <f t="shared" si="1"/>
        <v>0</v>
      </c>
      <c r="F41" s="123">
        <f t="shared" si="2"/>
        <v>0</v>
      </c>
    </row>
    <row r="42" spans="1:6" ht="16" x14ac:dyDescent="0.2">
      <c r="A42" s="122">
        <f t="shared" si="3"/>
        <v>34485</v>
      </c>
      <c r="B42" s="123"/>
      <c r="C42" s="124">
        <v>0</v>
      </c>
      <c r="D42" s="123">
        <f t="shared" si="0"/>
        <v>0</v>
      </c>
      <c r="E42" s="123">
        <f t="shared" si="1"/>
        <v>0</v>
      </c>
      <c r="F42" s="123">
        <f t="shared" si="2"/>
        <v>0</v>
      </c>
    </row>
    <row r="43" spans="1:6" ht="16" x14ac:dyDescent="0.2">
      <c r="A43" s="122">
        <f t="shared" si="3"/>
        <v>34850</v>
      </c>
      <c r="B43" s="123"/>
      <c r="C43" s="124">
        <v>0</v>
      </c>
      <c r="D43" s="123">
        <f>C43+$D19</f>
        <v>800.75704442025688</v>
      </c>
      <c r="E43" s="123">
        <f>C43+$D20</f>
        <v>715.724169417692</v>
      </c>
      <c r="F43" s="123">
        <f>C43+$D21</f>
        <v>647.01372899854186</v>
      </c>
    </row>
    <row r="44" spans="1:6" ht="16" x14ac:dyDescent="0.2">
      <c r="A44" s="121"/>
      <c r="B44" s="121"/>
      <c r="C44" s="121"/>
      <c r="D44" s="121"/>
      <c r="E44" s="121"/>
      <c r="F44" s="121"/>
    </row>
    <row r="45" spans="1:6" ht="14" x14ac:dyDescent="0.2">
      <c r="B45" s="144"/>
      <c r="C45" s="310"/>
      <c r="D45" s="62"/>
      <c r="E45" s="62"/>
      <c r="F45" s="62"/>
    </row>
    <row r="46" spans="1:6" ht="19" x14ac:dyDescent="0.25">
      <c r="B46" s="105" t="s">
        <v>234</v>
      </c>
      <c r="C46" s="311" t="s">
        <v>233</v>
      </c>
      <c r="D46" s="302">
        <f>IRR(D34:D43,15%)</f>
        <v>0.26005346866536949</v>
      </c>
      <c r="E46" s="302">
        <f>IRR(E34:E43,15%)</f>
        <v>0.24443363992229039</v>
      </c>
      <c r="F46" s="302">
        <f>IRR(F34:F43,15%)</f>
        <v>0.23055633222840077</v>
      </c>
    </row>
    <row r="47" spans="1:6" ht="14" x14ac:dyDescent="0.2">
      <c r="B47" s="216"/>
      <c r="C47" s="312"/>
      <c r="D47" s="60"/>
      <c r="E47" s="60"/>
      <c r="F47" s="60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69" orientation="portrait" horizontalDpi="4294967292" vertic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"/>
  <sheetViews>
    <sheetView showGridLines="0" workbookViewId="0"/>
  </sheetViews>
  <sheetFormatPr baseColWidth="10" defaultRowHeight="13" x14ac:dyDescent="0.15"/>
  <cols>
    <col min="3" max="3" width="14.6640625" customWidth="1"/>
  </cols>
  <sheetData>
    <row r="1" spans="1:6" ht="20" x14ac:dyDescent="0.2">
      <c r="A1" s="242" t="s">
        <v>12</v>
      </c>
    </row>
    <row r="6" spans="1:6" x14ac:dyDescent="0.15">
      <c r="A6" s="231"/>
      <c r="B6" s="232"/>
      <c r="C6" s="232"/>
      <c r="D6" s="233"/>
    </row>
    <row r="7" spans="1:6" ht="19" x14ac:dyDescent="0.25">
      <c r="A7" s="234" t="s">
        <v>13</v>
      </c>
      <c r="B7" s="147"/>
      <c r="C7" s="174" t="s">
        <v>1</v>
      </c>
      <c r="D7" s="235">
        <f>'Actions ordinaires'!D46</f>
        <v>0.26005346866536949</v>
      </c>
    </row>
    <row r="8" spans="1:6" ht="19" x14ac:dyDescent="0.25">
      <c r="A8" s="213"/>
      <c r="B8" s="147"/>
      <c r="C8" s="174" t="s">
        <v>2</v>
      </c>
      <c r="D8" s="235">
        <f>'Actions ordinaires'!E46</f>
        <v>0.24443363992229039</v>
      </c>
      <c r="F8" s="43"/>
    </row>
    <row r="9" spans="1:6" ht="19" x14ac:dyDescent="0.25">
      <c r="A9" s="213"/>
      <c r="B9" s="147"/>
      <c r="C9" s="174" t="s">
        <v>3</v>
      </c>
      <c r="D9" s="235">
        <f>'Actions ordinaires'!F46</f>
        <v>0.23055633222840077</v>
      </c>
    </row>
    <row r="10" spans="1:6" ht="19" x14ac:dyDescent="0.25">
      <c r="A10" s="213"/>
      <c r="B10" s="147"/>
      <c r="C10" s="174"/>
      <c r="D10" s="235"/>
    </row>
    <row r="11" spans="1:6" ht="19" x14ac:dyDescent="0.25">
      <c r="A11" s="213"/>
      <c r="B11" s="147"/>
      <c r="C11" s="174"/>
      <c r="D11" s="235"/>
    </row>
    <row r="12" spans="1:6" ht="19" x14ac:dyDescent="0.25">
      <c r="A12" s="234" t="s">
        <v>41</v>
      </c>
      <c r="B12" s="147"/>
      <c r="C12" s="174"/>
      <c r="D12" s="235"/>
    </row>
    <row r="13" spans="1:6" ht="19" x14ac:dyDescent="0.25">
      <c r="A13" s="213"/>
      <c r="B13" s="147"/>
      <c r="C13" s="174"/>
      <c r="D13" s="235"/>
    </row>
    <row r="14" spans="1:6" ht="19" x14ac:dyDescent="0.25">
      <c r="A14" s="213" t="s">
        <v>34</v>
      </c>
      <c r="B14" s="147"/>
      <c r="C14" s="174" t="s">
        <v>1</v>
      </c>
      <c r="D14" s="235">
        <f>'Obligation remboursabe'!E45</f>
        <v>0.21853412996999344</v>
      </c>
    </row>
    <row r="15" spans="1:6" ht="19" x14ac:dyDescent="0.25">
      <c r="A15" s="213"/>
      <c r="B15" s="147"/>
      <c r="C15" s="174" t="s">
        <v>2</v>
      </c>
      <c r="D15" s="235">
        <f>'Obligation remboursabe'!F45</f>
        <v>0.20368031989880997</v>
      </c>
    </row>
    <row r="16" spans="1:6" ht="19" x14ac:dyDescent="0.25">
      <c r="A16" s="213"/>
      <c r="B16" s="147"/>
      <c r="C16" s="174" t="s">
        <v>3</v>
      </c>
      <c r="D16" s="235">
        <f>'Obligation remboursabe'!G45</f>
        <v>0.19049546008720353</v>
      </c>
    </row>
    <row r="17" spans="1:4" ht="19" x14ac:dyDescent="0.25">
      <c r="A17" s="213"/>
      <c r="B17" s="147"/>
      <c r="C17" s="147"/>
      <c r="D17" s="236"/>
    </row>
    <row r="18" spans="1:4" ht="19" x14ac:dyDescent="0.25">
      <c r="A18" s="213" t="s">
        <v>42</v>
      </c>
      <c r="B18" s="147"/>
      <c r="C18" s="147"/>
      <c r="D18" s="235">
        <f>'Obligation subordonnée'!D20</f>
        <v>0.16832205553893775</v>
      </c>
    </row>
    <row r="19" spans="1:4" ht="19" x14ac:dyDescent="0.25">
      <c r="A19" s="213"/>
      <c r="B19" s="147"/>
      <c r="C19" s="147"/>
      <c r="D19" s="237"/>
    </row>
    <row r="20" spans="1:4" ht="19" x14ac:dyDescent="0.25">
      <c r="A20" s="213"/>
      <c r="B20" s="147"/>
      <c r="C20" s="147"/>
      <c r="D20" s="237"/>
    </row>
    <row r="21" spans="1:4" ht="19" x14ac:dyDescent="0.25">
      <c r="A21" s="234" t="s">
        <v>43</v>
      </c>
      <c r="B21" s="147"/>
      <c r="C21" s="147"/>
      <c r="D21" s="238">
        <f>Structuration!F20</f>
        <v>0.12</v>
      </c>
    </row>
    <row r="22" spans="1:4" x14ac:dyDescent="0.15">
      <c r="A22" s="239"/>
      <c r="B22" s="240"/>
      <c r="C22" s="240"/>
      <c r="D22" s="241"/>
    </row>
  </sheetData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0" orientation="portrait" horizontalDpi="4294967292" verticalDpi="429496729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56"/>
  <sheetViews>
    <sheetView showGridLines="0" zoomScale="130" zoomScaleNormal="130" workbookViewId="0">
      <selection activeCell="C51" sqref="C51"/>
    </sheetView>
  </sheetViews>
  <sheetFormatPr baseColWidth="10" defaultRowHeight="13" x14ac:dyDescent="0.15"/>
  <cols>
    <col min="1" max="1" width="27.5" customWidth="1"/>
    <col min="2" max="2" width="11.33203125" customWidth="1"/>
    <col min="5" max="5" width="13.5" customWidth="1"/>
  </cols>
  <sheetData>
    <row r="1" spans="1:5" ht="18" x14ac:dyDescent="0.2">
      <c r="A1" s="93" t="s">
        <v>26</v>
      </c>
    </row>
    <row r="2" spans="1:5" ht="18" x14ac:dyDescent="0.2">
      <c r="A2" s="93"/>
    </row>
    <row r="3" spans="1:5" x14ac:dyDescent="0.15">
      <c r="A3" s="62"/>
      <c r="B3" s="62"/>
      <c r="C3" s="62"/>
      <c r="D3" s="62"/>
    </row>
    <row r="4" spans="1:5" s="133" customFormat="1" x14ac:dyDescent="0.15">
      <c r="A4" s="349" t="s">
        <v>81</v>
      </c>
      <c r="B4" s="134">
        <v>1999</v>
      </c>
      <c r="C4" s="134">
        <v>1999</v>
      </c>
      <c r="D4" s="134">
        <v>2000</v>
      </c>
    </row>
    <row r="5" spans="1:5" s="133" customFormat="1" x14ac:dyDescent="0.15">
      <c r="A5" s="136"/>
      <c r="B5" s="134" t="s">
        <v>249</v>
      </c>
      <c r="C5" s="134" t="s">
        <v>250</v>
      </c>
      <c r="D5" s="134" t="s">
        <v>250</v>
      </c>
    </row>
    <row r="6" spans="1:5" x14ac:dyDescent="0.15">
      <c r="A6" s="60"/>
      <c r="B6" s="60"/>
      <c r="C6" s="60"/>
      <c r="D6" s="60"/>
    </row>
    <row r="7" spans="1:5" x14ac:dyDescent="0.15">
      <c r="A7" s="135"/>
      <c r="B7" s="137"/>
      <c r="C7" s="135"/>
      <c r="D7" s="135"/>
    </row>
    <row r="8" spans="1:5" x14ac:dyDescent="0.15">
      <c r="A8" s="135" t="s">
        <v>14</v>
      </c>
      <c r="B8" s="54">
        <f>'Prévision P&amp;L &amp; CF'!L9</f>
        <v>842.05011501932256</v>
      </c>
      <c r="C8" s="54">
        <v>812</v>
      </c>
      <c r="D8" s="54">
        <v>789</v>
      </c>
    </row>
    <row r="9" spans="1:5" x14ac:dyDescent="0.15">
      <c r="A9" s="135"/>
      <c r="B9" s="54"/>
      <c r="C9" s="54"/>
      <c r="D9" s="54"/>
    </row>
    <row r="10" spans="1:5" x14ac:dyDescent="0.15">
      <c r="A10" s="135" t="s">
        <v>15</v>
      </c>
      <c r="B10" s="54">
        <f>'Prévision P&amp;L &amp; CF'!L15+'Prévision P&amp;L &amp; CF'!L18+'Prévision P&amp;L &amp; CF'!L13</f>
        <v>155.4481682455</v>
      </c>
      <c r="C10" s="54">
        <v>128</v>
      </c>
      <c r="D10" s="54">
        <v>122</v>
      </c>
    </row>
    <row r="11" spans="1:5" x14ac:dyDescent="0.15">
      <c r="A11" s="135"/>
      <c r="B11" s="54"/>
      <c r="C11" s="54"/>
      <c r="D11" s="54"/>
    </row>
    <row r="12" spans="1:5" x14ac:dyDescent="0.15">
      <c r="A12" s="135" t="s">
        <v>16</v>
      </c>
      <c r="B12" s="54">
        <f>'Prévision P&amp;L &amp; CF'!L28</f>
        <v>101.062388854665</v>
      </c>
      <c r="C12" s="54">
        <v>70</v>
      </c>
      <c r="D12" s="54">
        <v>253</v>
      </c>
    </row>
    <row r="13" spans="1:5" x14ac:dyDescent="0.15">
      <c r="A13" s="135"/>
      <c r="B13" s="135"/>
      <c r="C13" s="135"/>
      <c r="D13" s="135"/>
    </row>
    <row r="14" spans="1:5" x14ac:dyDescent="0.15">
      <c r="A14" s="126"/>
      <c r="B14" s="127"/>
      <c r="C14" s="127"/>
      <c r="D14" s="127"/>
      <c r="E14" s="128"/>
    </row>
    <row r="15" spans="1:5" x14ac:dyDescent="0.15">
      <c r="A15" s="346" t="s">
        <v>49</v>
      </c>
      <c r="B15" s="147" t="s">
        <v>251</v>
      </c>
      <c r="D15" s="344">
        <v>1825771</v>
      </c>
      <c r="E15" s="129"/>
    </row>
    <row r="16" spans="1:5" x14ac:dyDescent="0.15">
      <c r="A16" s="79"/>
      <c r="E16" s="129"/>
    </row>
    <row r="17" spans="1:5" x14ac:dyDescent="0.15">
      <c r="A17" s="79"/>
      <c r="B17" s="147" t="s">
        <v>252</v>
      </c>
      <c r="E17" s="129"/>
    </row>
    <row r="18" spans="1:5" x14ac:dyDescent="0.15">
      <c r="A18" s="79"/>
      <c r="E18" s="129"/>
    </row>
    <row r="19" spans="1:5" x14ac:dyDescent="0.15">
      <c r="A19" s="79"/>
      <c r="B19" s="147" t="s">
        <v>254</v>
      </c>
      <c r="E19" s="129"/>
    </row>
    <row r="20" spans="1:5" x14ac:dyDescent="0.15">
      <c r="A20" s="79"/>
      <c r="E20" s="129"/>
    </row>
    <row r="21" spans="1:5" x14ac:dyDescent="0.15">
      <c r="A21" s="79"/>
      <c r="B21" s="147" t="s">
        <v>253</v>
      </c>
      <c r="E21" s="129"/>
    </row>
    <row r="22" spans="1:5" x14ac:dyDescent="0.15">
      <c r="A22" s="79"/>
      <c r="B22" s="147"/>
      <c r="E22" s="129"/>
    </row>
    <row r="23" spans="1:5" x14ac:dyDescent="0.15">
      <c r="A23" s="79"/>
      <c r="B23" s="147" t="s">
        <v>257</v>
      </c>
      <c r="E23" s="348">
        <v>0</v>
      </c>
    </row>
    <row r="24" spans="1:5" x14ac:dyDescent="0.15">
      <c r="A24" s="79"/>
      <c r="B24" s="147"/>
      <c r="C24" s="147" t="s">
        <v>258</v>
      </c>
      <c r="D24" s="4">
        <v>1999</v>
      </c>
      <c r="E24" s="348">
        <v>65.599999999999994</v>
      </c>
    </row>
    <row r="25" spans="1:5" x14ac:dyDescent="0.15">
      <c r="A25" s="79"/>
      <c r="B25" s="147"/>
      <c r="D25" s="4">
        <v>2000</v>
      </c>
      <c r="E25" s="348">
        <v>49.85</v>
      </c>
    </row>
    <row r="26" spans="1:5" x14ac:dyDescent="0.15">
      <c r="A26" s="130"/>
      <c r="B26" s="131"/>
      <c r="C26" s="131"/>
      <c r="D26" s="131"/>
      <c r="E26" s="132"/>
    </row>
    <row r="28" spans="1:5" x14ac:dyDescent="0.15">
      <c r="A28" s="347" t="s">
        <v>17</v>
      </c>
    </row>
    <row r="30" spans="1:5" x14ac:dyDescent="0.15">
      <c r="A30" t="s">
        <v>18</v>
      </c>
    </row>
    <row r="32" spans="1:5" x14ac:dyDescent="0.15">
      <c r="A32" t="s">
        <v>19</v>
      </c>
      <c r="B32" s="139">
        <v>180.7</v>
      </c>
      <c r="C32" t="s">
        <v>20</v>
      </c>
      <c r="D32" s="138">
        <v>1185.31</v>
      </c>
      <c r="E32" t="s">
        <v>21</v>
      </c>
    </row>
    <row r="34" spans="1:5" x14ac:dyDescent="0.15">
      <c r="A34" t="s">
        <v>22</v>
      </c>
      <c r="B34" s="139">
        <f>220000/1826</f>
        <v>120.48192771084338</v>
      </c>
      <c r="C34" t="s">
        <v>20</v>
      </c>
      <c r="D34" s="138">
        <f>B34*6.55957</f>
        <v>790.30963855421692</v>
      </c>
      <c r="E34" t="s">
        <v>21</v>
      </c>
    </row>
    <row r="36" spans="1:5" x14ac:dyDescent="0.15">
      <c r="A36" s="62"/>
      <c r="B36" s="47"/>
      <c r="C36" s="62"/>
      <c r="D36" s="62"/>
    </row>
    <row r="37" spans="1:5" ht="14" x14ac:dyDescent="0.15">
      <c r="A37" s="345" t="s">
        <v>256</v>
      </c>
      <c r="B37" s="134" t="s">
        <v>255</v>
      </c>
      <c r="C37" s="38" t="s">
        <v>23</v>
      </c>
      <c r="D37" s="38" t="s">
        <v>73</v>
      </c>
    </row>
    <row r="38" spans="1:5" x14ac:dyDescent="0.15">
      <c r="A38" s="60"/>
      <c r="B38" s="56"/>
      <c r="C38" s="56"/>
      <c r="D38" s="56"/>
    </row>
    <row r="39" spans="1:5" x14ac:dyDescent="0.15">
      <c r="A39" s="135"/>
      <c r="B39" s="38"/>
      <c r="C39" s="135"/>
      <c r="D39" s="135"/>
    </row>
    <row r="40" spans="1:5" x14ac:dyDescent="0.15">
      <c r="A40" s="135"/>
      <c r="B40" s="38">
        <v>1990</v>
      </c>
      <c r="C40" s="284">
        <f>'Obligation remboursabe'!F33</f>
        <v>-26000</v>
      </c>
      <c r="D40" s="284">
        <v>-100</v>
      </c>
    </row>
    <row r="41" spans="1:5" x14ac:dyDescent="0.15">
      <c r="A41" s="135"/>
      <c r="B41" s="38">
        <f>B40+1</f>
        <v>1991</v>
      </c>
      <c r="C41" s="284">
        <f>'Obligation remboursabe'!F34</f>
        <v>260</v>
      </c>
      <c r="D41" s="284">
        <v>0</v>
      </c>
    </row>
    <row r="42" spans="1:5" x14ac:dyDescent="0.15">
      <c r="A42" s="135"/>
      <c r="B42" s="38">
        <f t="shared" ref="B42:B51" si="0">B41+1</f>
        <v>1992</v>
      </c>
      <c r="C42" s="284">
        <f>'Obligation remboursabe'!F35</f>
        <v>260</v>
      </c>
      <c r="D42" s="284">
        <v>0</v>
      </c>
    </row>
    <row r="43" spans="1:5" x14ac:dyDescent="0.15">
      <c r="A43" s="135"/>
      <c r="B43" s="38">
        <f t="shared" si="0"/>
        <v>1993</v>
      </c>
      <c r="C43" s="284">
        <f>'Obligation remboursabe'!F36</f>
        <v>260</v>
      </c>
      <c r="D43" s="284">
        <v>0</v>
      </c>
    </row>
    <row r="44" spans="1:5" x14ac:dyDescent="0.15">
      <c r="A44" s="135"/>
      <c r="B44" s="38">
        <f t="shared" si="0"/>
        <v>1994</v>
      </c>
      <c r="C44" s="284">
        <f>'Obligation remboursabe'!F37</f>
        <v>260</v>
      </c>
      <c r="D44" s="284">
        <v>0</v>
      </c>
    </row>
    <row r="45" spans="1:5" x14ac:dyDescent="0.15">
      <c r="A45" s="135"/>
      <c r="B45" s="38">
        <f t="shared" si="0"/>
        <v>1995</v>
      </c>
      <c r="C45" s="284">
        <f>'Obligation remboursabe'!F38</f>
        <v>260</v>
      </c>
      <c r="D45" s="284">
        <v>0</v>
      </c>
    </row>
    <row r="46" spans="1:5" x14ac:dyDescent="0.15">
      <c r="A46" s="135"/>
      <c r="B46" s="38">
        <f t="shared" si="0"/>
        <v>1996</v>
      </c>
      <c r="C46" s="284">
        <f>'Obligation remboursabe'!F39</f>
        <v>260</v>
      </c>
      <c r="D46" s="284">
        <v>0</v>
      </c>
    </row>
    <row r="47" spans="1:5" x14ac:dyDescent="0.15">
      <c r="A47" s="135"/>
      <c r="B47" s="38">
        <f t="shared" si="0"/>
        <v>1997</v>
      </c>
      <c r="C47" s="284">
        <f>'Obligation remboursabe'!F40</f>
        <v>260</v>
      </c>
      <c r="D47" s="284">
        <v>0</v>
      </c>
    </row>
    <row r="48" spans="1:5" x14ac:dyDescent="0.15">
      <c r="A48" s="135"/>
      <c r="B48" s="38">
        <f t="shared" si="0"/>
        <v>1998</v>
      </c>
      <c r="C48" s="284">
        <f>'Obligation remboursabe'!F41</f>
        <v>260</v>
      </c>
      <c r="D48" s="284">
        <v>0</v>
      </c>
    </row>
    <row r="49" spans="1:4" x14ac:dyDescent="0.15">
      <c r="A49" s="135"/>
      <c r="B49" s="38">
        <f t="shared" si="0"/>
        <v>1999</v>
      </c>
      <c r="C49" s="284">
        <v>260</v>
      </c>
      <c r="D49" s="284">
        <v>0</v>
      </c>
    </row>
    <row r="50" spans="1:4" x14ac:dyDescent="0.15">
      <c r="A50" s="135"/>
      <c r="B50" s="38">
        <f t="shared" si="0"/>
        <v>2000</v>
      </c>
      <c r="C50" s="284">
        <f>E24*'Obligation remboursabe'!C7</f>
        <v>12135.999999999998</v>
      </c>
      <c r="D50" s="284">
        <f>E24</f>
        <v>65.599999999999994</v>
      </c>
    </row>
    <row r="51" spans="1:4" x14ac:dyDescent="0.15">
      <c r="A51" s="135"/>
      <c r="B51" s="38">
        <f t="shared" si="0"/>
        <v>2001</v>
      </c>
      <c r="C51" s="284">
        <f>E25*'Obligation remboursabe'!C7+'Obligation remboursabe'!C7*Dénouement!D34</f>
        <v>155429.53313253014</v>
      </c>
      <c r="D51" s="284">
        <f>E25+D34</f>
        <v>840.15963855421694</v>
      </c>
    </row>
    <row r="52" spans="1:4" x14ac:dyDescent="0.15">
      <c r="A52" s="135"/>
      <c r="B52" s="38"/>
      <c r="C52" s="135"/>
      <c r="D52" s="135"/>
    </row>
    <row r="53" spans="1:4" x14ac:dyDescent="0.15">
      <c r="A53" s="135"/>
      <c r="B53" s="136" t="s">
        <v>24</v>
      </c>
      <c r="C53" s="140">
        <f>IRR(C40:C51,15%)</f>
        <v>0.19064259464450251</v>
      </c>
      <c r="D53" s="140">
        <f>IRR(D40:D51,15%)</f>
        <v>0.2235885305520704</v>
      </c>
    </row>
    <row r="54" spans="1:4" x14ac:dyDescent="0.15">
      <c r="A54" s="135"/>
      <c r="B54" s="136"/>
      <c r="C54" s="140"/>
      <c r="D54" s="140"/>
    </row>
    <row r="55" spans="1:4" x14ac:dyDescent="0.15">
      <c r="A55" s="135"/>
      <c r="B55" s="136" t="s">
        <v>25</v>
      </c>
      <c r="C55" s="140">
        <f>'Obligation remboursabe'!F45</f>
        <v>0.20368031989880997</v>
      </c>
      <c r="D55" s="140">
        <f>'Actions ordinaires'!E46</f>
        <v>0.24443363992229039</v>
      </c>
    </row>
    <row r="56" spans="1:4" x14ac:dyDescent="0.15">
      <c r="A56" s="60"/>
      <c r="B56" s="60"/>
      <c r="C56" s="60"/>
      <c r="D56" s="60"/>
    </row>
  </sheetData>
  <phoneticPr fontId="3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0" scale="95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3"/>
  <sheetViews>
    <sheetView showGridLines="0" workbookViewId="0">
      <selection activeCell="A52" sqref="A52"/>
    </sheetView>
  </sheetViews>
  <sheetFormatPr baseColWidth="10" defaultRowHeight="16" x14ac:dyDescent="0.2"/>
  <cols>
    <col min="1" max="1" width="40.33203125" style="174" customWidth="1"/>
    <col min="2" max="6" width="10.6640625" style="174" customWidth="1"/>
    <col min="7" max="16384" width="10.83203125" style="174"/>
  </cols>
  <sheetData>
    <row r="2" spans="1:7" ht="24" x14ac:dyDescent="0.3">
      <c r="A2" s="225" t="s">
        <v>86</v>
      </c>
      <c r="B2" s="173"/>
      <c r="C2" s="350"/>
    </row>
    <row r="3" spans="1:7" x14ac:dyDescent="0.2">
      <c r="A3" s="113"/>
      <c r="B3" s="109"/>
    </row>
    <row r="4" spans="1:7" x14ac:dyDescent="0.2">
      <c r="A4" s="113"/>
      <c r="B4" s="109"/>
    </row>
    <row r="6" spans="1:7" x14ac:dyDescent="0.2">
      <c r="A6" s="148"/>
      <c r="B6" s="163"/>
      <c r="C6" s="164"/>
      <c r="D6" s="164"/>
      <c r="E6" s="164"/>
      <c r="F6" s="164"/>
    </row>
    <row r="7" spans="1:7" ht="19" x14ac:dyDescent="0.25">
      <c r="A7" s="61" t="s">
        <v>82</v>
      </c>
      <c r="B7" s="169">
        <v>1985</v>
      </c>
      <c r="C7" s="61">
        <v>1986</v>
      </c>
      <c r="D7" s="61">
        <v>1987</v>
      </c>
      <c r="E7" s="61">
        <v>1988</v>
      </c>
      <c r="F7" s="61">
        <v>1989</v>
      </c>
      <c r="G7" s="183"/>
    </row>
    <row r="8" spans="1:7" x14ac:dyDescent="0.2">
      <c r="A8" s="151"/>
      <c r="B8" s="152"/>
      <c r="C8" s="153"/>
      <c r="D8" s="153"/>
      <c r="E8" s="153"/>
      <c r="F8" s="153" t="s">
        <v>85</v>
      </c>
      <c r="G8" s="153" t="s">
        <v>232</v>
      </c>
    </row>
    <row r="9" spans="1:7" x14ac:dyDescent="0.2">
      <c r="A9" s="157"/>
      <c r="B9" s="152"/>
      <c r="C9" s="153"/>
      <c r="D9" s="153"/>
      <c r="E9" s="153"/>
      <c r="F9" s="153"/>
      <c r="G9" s="175"/>
    </row>
    <row r="10" spans="1:7" x14ac:dyDescent="0.2">
      <c r="A10" s="157" t="s">
        <v>105</v>
      </c>
      <c r="B10" s="152">
        <v>248</v>
      </c>
      <c r="C10" s="152">
        <v>272</v>
      </c>
      <c r="D10" s="152">
        <v>299</v>
      </c>
      <c r="E10" s="152">
        <v>354</v>
      </c>
      <c r="F10" s="152">
        <v>389</v>
      </c>
      <c r="G10" s="291">
        <f>((F10/B10)^0.25-1)</f>
        <v>0.11911439006395219</v>
      </c>
    </row>
    <row r="11" spans="1:7" x14ac:dyDescent="0.2">
      <c r="A11" s="157"/>
      <c r="B11" s="152"/>
      <c r="C11" s="315">
        <f>(C10-B10)/B10</f>
        <v>9.6774193548387094E-2</v>
      </c>
      <c r="D11" s="315">
        <f t="shared" ref="D11:F11" si="0">(D10-C10)/C10</f>
        <v>9.9264705882352935E-2</v>
      </c>
      <c r="E11" s="315">
        <f t="shared" si="0"/>
        <v>0.18394648829431437</v>
      </c>
      <c r="F11" s="315">
        <f t="shared" si="0"/>
        <v>9.8870056497175146E-2</v>
      </c>
      <c r="G11" s="316"/>
    </row>
    <row r="12" spans="1:7" x14ac:dyDescent="0.2">
      <c r="A12" s="157" t="s">
        <v>106</v>
      </c>
      <c r="B12" s="152">
        <v>0</v>
      </c>
      <c r="C12" s="152">
        <v>0</v>
      </c>
      <c r="D12" s="152">
        <v>60</v>
      </c>
      <c r="E12" s="152">
        <v>51</v>
      </c>
      <c r="F12" s="152">
        <v>50</v>
      </c>
    </row>
    <row r="13" spans="1:7" x14ac:dyDescent="0.2">
      <c r="A13" s="158"/>
      <c r="B13" s="155"/>
      <c r="C13" s="155"/>
      <c r="D13" s="155"/>
      <c r="E13" s="155"/>
      <c r="F13" s="155"/>
    </row>
    <row r="14" spans="1:7" x14ac:dyDescent="0.2">
      <c r="A14" s="157"/>
      <c r="B14" s="152"/>
      <c r="C14" s="152"/>
      <c r="D14" s="152"/>
      <c r="E14" s="152"/>
      <c r="F14" s="152"/>
    </row>
    <row r="15" spans="1:7" x14ac:dyDescent="0.2">
      <c r="A15" s="157" t="s">
        <v>107</v>
      </c>
      <c r="B15" s="152">
        <f>SUM(B10:B12)</f>
        <v>248</v>
      </c>
      <c r="C15" s="152">
        <f>SUM(C10:C12)</f>
        <v>272.09677419354841</v>
      </c>
      <c r="D15" s="152">
        <f>SUM(D10:D12)</f>
        <v>359.09926470588238</v>
      </c>
      <c r="E15" s="152">
        <f>SUM(E10:E12)</f>
        <v>405.18394648829434</v>
      </c>
      <c r="F15" s="152">
        <f>SUM(F10:F12)</f>
        <v>439.09887005649716</v>
      </c>
    </row>
    <row r="16" spans="1:7" x14ac:dyDescent="0.2">
      <c r="A16" s="157"/>
      <c r="B16" s="152"/>
      <c r="C16" s="152"/>
      <c r="D16" s="152"/>
      <c r="E16" s="152"/>
      <c r="F16" s="152"/>
    </row>
    <row r="17" spans="1:6" x14ac:dyDescent="0.2">
      <c r="A17" s="157" t="s">
        <v>108</v>
      </c>
      <c r="B17" s="152">
        <v>52</v>
      </c>
      <c r="C17" s="152">
        <v>51</v>
      </c>
      <c r="D17" s="152">
        <v>80</v>
      </c>
      <c r="E17" s="152">
        <v>83</v>
      </c>
      <c r="F17" s="152" t="s">
        <v>80</v>
      </c>
    </row>
    <row r="18" spans="1:6" x14ac:dyDescent="0.2">
      <c r="A18" s="157"/>
      <c r="B18" s="152"/>
      <c r="C18" s="152"/>
      <c r="D18" s="152"/>
      <c r="E18" s="152"/>
      <c r="F18" s="152"/>
    </row>
    <row r="19" spans="1:6" x14ac:dyDescent="0.2">
      <c r="A19" s="157" t="s">
        <v>109</v>
      </c>
      <c r="B19" s="152">
        <v>74</v>
      </c>
      <c r="C19" s="152">
        <v>81</v>
      </c>
      <c r="D19" s="152">
        <v>119</v>
      </c>
      <c r="E19" s="152">
        <v>128</v>
      </c>
      <c r="F19" s="152" t="s">
        <v>80</v>
      </c>
    </row>
    <row r="20" spans="1:6" x14ac:dyDescent="0.2">
      <c r="A20" s="157"/>
      <c r="B20" s="152"/>
      <c r="C20" s="152"/>
      <c r="D20" s="152"/>
      <c r="E20" s="152"/>
      <c r="F20" s="152" t="s">
        <v>80</v>
      </c>
    </row>
    <row r="21" spans="1:6" x14ac:dyDescent="0.2">
      <c r="A21" s="157" t="s">
        <v>119</v>
      </c>
      <c r="B21" s="152">
        <v>10</v>
      </c>
      <c r="C21" s="152">
        <v>11</v>
      </c>
      <c r="D21" s="152">
        <v>13</v>
      </c>
      <c r="E21" s="152">
        <v>15</v>
      </c>
      <c r="F21" s="152" t="s">
        <v>80</v>
      </c>
    </row>
    <row r="22" spans="1:6" x14ac:dyDescent="0.2">
      <c r="A22" s="157"/>
      <c r="B22" s="152"/>
      <c r="C22" s="152"/>
      <c r="D22" s="152"/>
      <c r="E22" s="152"/>
      <c r="F22" s="152"/>
    </row>
    <row r="23" spans="1:6" x14ac:dyDescent="0.2">
      <c r="A23" s="157" t="s">
        <v>112</v>
      </c>
      <c r="B23" s="152">
        <v>3</v>
      </c>
      <c r="C23" s="152">
        <v>4</v>
      </c>
      <c r="D23" s="152">
        <v>5</v>
      </c>
      <c r="E23" s="152">
        <v>6</v>
      </c>
      <c r="F23" s="152"/>
    </row>
    <row r="24" spans="1:6" x14ac:dyDescent="0.2">
      <c r="A24" s="157"/>
      <c r="B24" s="152"/>
      <c r="C24" s="152"/>
      <c r="D24" s="152"/>
      <c r="E24" s="152"/>
      <c r="F24" s="152"/>
    </row>
    <row r="25" spans="1:6" x14ac:dyDescent="0.2">
      <c r="A25" s="157" t="s">
        <v>110</v>
      </c>
      <c r="B25" s="152">
        <v>40</v>
      </c>
      <c r="C25" s="152">
        <v>41</v>
      </c>
      <c r="D25" s="152">
        <v>40</v>
      </c>
      <c r="E25" s="152">
        <v>51</v>
      </c>
      <c r="F25" s="152" t="s">
        <v>80</v>
      </c>
    </row>
    <row r="26" spans="1:6" x14ac:dyDescent="0.2">
      <c r="A26" s="158"/>
      <c r="B26" s="155"/>
      <c r="C26" s="155"/>
      <c r="D26" s="155"/>
      <c r="E26" s="155"/>
      <c r="F26" s="155"/>
    </row>
    <row r="27" spans="1:6" x14ac:dyDescent="0.2">
      <c r="A27" s="157"/>
      <c r="B27" s="152"/>
      <c r="C27" s="152"/>
      <c r="D27" s="152"/>
      <c r="E27" s="152"/>
      <c r="F27" s="152"/>
    </row>
    <row r="28" spans="1:6" x14ac:dyDescent="0.2">
      <c r="A28" s="157" t="s">
        <v>111</v>
      </c>
      <c r="B28" s="152">
        <f>SUM(B17:B25)</f>
        <v>179</v>
      </c>
      <c r="C28" s="152">
        <f>SUM(C17:C25)</f>
        <v>188</v>
      </c>
      <c r="D28" s="152">
        <f>SUM(D17:D25)</f>
        <v>257</v>
      </c>
      <c r="E28" s="152">
        <f>SUM(E17:E25)</f>
        <v>283</v>
      </c>
      <c r="F28" s="152">
        <v>309</v>
      </c>
    </row>
    <row r="29" spans="1:6" x14ac:dyDescent="0.2">
      <c r="A29" s="157"/>
      <c r="B29" s="152"/>
      <c r="C29" s="152"/>
      <c r="D29" s="152"/>
      <c r="E29" s="152"/>
      <c r="F29" s="152"/>
    </row>
    <row r="30" spans="1:6" x14ac:dyDescent="0.2">
      <c r="A30" s="162"/>
      <c r="B30" s="163"/>
      <c r="C30" s="163"/>
      <c r="D30" s="163"/>
      <c r="E30" s="163"/>
      <c r="F30" s="163"/>
    </row>
    <row r="31" spans="1:6" x14ac:dyDescent="0.2">
      <c r="A31" s="157" t="s">
        <v>113</v>
      </c>
      <c r="B31" s="152">
        <f>B15-B28</f>
        <v>69</v>
      </c>
      <c r="C31" s="152">
        <f>C15-C28</f>
        <v>84.096774193548413</v>
      </c>
      <c r="D31" s="152">
        <f>D15-D28</f>
        <v>102.09926470588238</v>
      </c>
      <c r="E31" s="152">
        <f>E15-E28</f>
        <v>122.18394648829434</v>
      </c>
      <c r="F31" s="152">
        <f>F15-F28</f>
        <v>130.09887005649716</v>
      </c>
    </row>
    <row r="32" spans="1:6" x14ac:dyDescent="0.2">
      <c r="A32" s="175"/>
      <c r="B32" s="152"/>
      <c r="C32" s="152"/>
      <c r="D32" s="152"/>
      <c r="E32" s="152"/>
      <c r="F32" s="152"/>
    </row>
    <row r="33" spans="1:6" x14ac:dyDescent="0.2">
      <c r="A33" s="157" t="s">
        <v>114</v>
      </c>
      <c r="B33" s="152">
        <v>38</v>
      </c>
      <c r="C33" s="152">
        <v>44</v>
      </c>
      <c r="D33" s="152">
        <v>53</v>
      </c>
      <c r="E33" s="152">
        <v>59</v>
      </c>
      <c r="F33" s="152">
        <v>60</v>
      </c>
    </row>
    <row r="34" spans="1:6" x14ac:dyDescent="0.2">
      <c r="A34" s="158"/>
      <c r="B34" s="155"/>
      <c r="C34" s="155"/>
      <c r="D34" s="155"/>
      <c r="E34" s="155"/>
      <c r="F34" s="155"/>
    </row>
    <row r="35" spans="1:6" s="178" customFormat="1" x14ac:dyDescent="0.2">
      <c r="A35" s="176"/>
      <c r="B35" s="177"/>
      <c r="C35" s="177"/>
      <c r="D35" s="177"/>
      <c r="E35" s="177"/>
      <c r="F35" s="177"/>
    </row>
    <row r="36" spans="1:6" s="178" customFormat="1" x14ac:dyDescent="0.2">
      <c r="A36" s="176" t="s">
        <v>115</v>
      </c>
      <c r="B36" s="177">
        <f>B31-B33</f>
        <v>31</v>
      </c>
      <c r="C36" s="177">
        <f>C31-C33</f>
        <v>40.096774193548413</v>
      </c>
      <c r="D36" s="177">
        <f>D31-D33</f>
        <v>49.099264705882376</v>
      </c>
      <c r="E36" s="177">
        <f>E31-E33</f>
        <v>63.183946488294339</v>
      </c>
      <c r="F36" s="177">
        <f>F31-F33</f>
        <v>70.098870056497162</v>
      </c>
    </row>
    <row r="37" spans="1:6" s="178" customFormat="1" x14ac:dyDescent="0.2">
      <c r="A37" s="176"/>
      <c r="B37" s="177"/>
      <c r="C37" s="177"/>
      <c r="D37" s="177"/>
      <c r="E37" s="177"/>
      <c r="F37" s="177"/>
    </row>
    <row r="38" spans="1:6" s="178" customFormat="1" x14ac:dyDescent="0.2">
      <c r="A38" s="176" t="s">
        <v>116</v>
      </c>
      <c r="B38" s="177">
        <v>0</v>
      </c>
      <c r="C38" s="177">
        <v>1</v>
      </c>
      <c r="D38" s="177">
        <v>-1</v>
      </c>
      <c r="E38" s="177">
        <v>4</v>
      </c>
      <c r="F38" s="177">
        <v>4</v>
      </c>
    </row>
    <row r="39" spans="1:6" s="178" customFormat="1" x14ac:dyDescent="0.2">
      <c r="A39" s="176"/>
      <c r="B39" s="177"/>
      <c r="C39" s="177"/>
      <c r="D39" s="177"/>
      <c r="E39" s="177"/>
      <c r="F39" s="177"/>
    </row>
    <row r="40" spans="1:6" s="178" customFormat="1" x14ac:dyDescent="0.2">
      <c r="A40" s="176" t="s">
        <v>117</v>
      </c>
      <c r="B40" s="177">
        <v>-2</v>
      </c>
      <c r="C40" s="177">
        <v>-3</v>
      </c>
      <c r="D40" s="177">
        <v>3</v>
      </c>
      <c r="E40" s="177">
        <v>-5</v>
      </c>
      <c r="F40" s="177">
        <v>-1</v>
      </c>
    </row>
    <row r="41" spans="1:6" s="178" customFormat="1" x14ac:dyDescent="0.2">
      <c r="A41" s="179"/>
      <c r="B41" s="180"/>
      <c r="C41" s="180"/>
      <c r="D41" s="180"/>
      <c r="E41" s="180"/>
      <c r="F41" s="180"/>
    </row>
    <row r="42" spans="1:6" s="178" customFormat="1" x14ac:dyDescent="0.2">
      <c r="A42" s="176"/>
      <c r="B42" s="177"/>
      <c r="C42" s="177"/>
      <c r="D42" s="177"/>
      <c r="E42" s="177"/>
      <c r="F42" s="177"/>
    </row>
    <row r="43" spans="1:6" s="178" customFormat="1" x14ac:dyDescent="0.2">
      <c r="A43" s="176" t="s">
        <v>118</v>
      </c>
      <c r="B43" s="177">
        <f>+B36+B38+B40</f>
        <v>29</v>
      </c>
      <c r="C43" s="177">
        <f>+C36+C38+C40</f>
        <v>38.096774193548413</v>
      </c>
      <c r="D43" s="177">
        <f>+D36+D38+D40</f>
        <v>51.099264705882376</v>
      </c>
      <c r="E43" s="177">
        <f>+E36+E38+E40</f>
        <v>62.183946488294339</v>
      </c>
      <c r="F43" s="177">
        <f>+F36+F38+F40</f>
        <v>73.098870056497162</v>
      </c>
    </row>
    <row r="44" spans="1:6" s="178" customFormat="1" x14ac:dyDescent="0.2">
      <c r="A44" s="176"/>
      <c r="B44" s="177"/>
      <c r="C44" s="177"/>
      <c r="D44" s="177"/>
      <c r="E44" s="177"/>
      <c r="F44" s="177"/>
    </row>
    <row r="45" spans="1:6" s="178" customFormat="1" x14ac:dyDescent="0.2">
      <c r="A45" s="176" t="s">
        <v>260</v>
      </c>
      <c r="B45" s="177">
        <v>-15</v>
      </c>
      <c r="C45" s="177">
        <v>-19</v>
      </c>
      <c r="D45" s="177">
        <v>-22</v>
      </c>
      <c r="E45" s="177">
        <v>-26</v>
      </c>
      <c r="F45" s="177">
        <v>-31</v>
      </c>
    </row>
    <row r="46" spans="1:6" s="178" customFormat="1" x14ac:dyDescent="0.2">
      <c r="A46" s="179"/>
      <c r="B46" s="180"/>
      <c r="C46" s="180"/>
      <c r="D46" s="180"/>
      <c r="E46" s="180"/>
      <c r="F46" s="180"/>
    </row>
    <row r="47" spans="1:6" s="178" customFormat="1" x14ac:dyDescent="0.2">
      <c r="A47" s="176"/>
      <c r="B47" s="177"/>
      <c r="C47" s="177"/>
      <c r="D47" s="177"/>
      <c r="E47" s="177"/>
      <c r="F47" s="177"/>
    </row>
    <row r="48" spans="1:6" s="178" customFormat="1" x14ac:dyDescent="0.2">
      <c r="A48" s="176" t="s">
        <v>16</v>
      </c>
      <c r="B48" s="177">
        <f>B43+B45</f>
        <v>14</v>
      </c>
      <c r="C48" s="177">
        <f>C43+C45</f>
        <v>19.096774193548413</v>
      </c>
      <c r="D48" s="177">
        <f>D43+D45</f>
        <v>29.099264705882376</v>
      </c>
      <c r="E48" s="177">
        <f>E43+E45</f>
        <v>36.183946488294339</v>
      </c>
      <c r="F48" s="177">
        <f>F43+F45</f>
        <v>42.098870056497162</v>
      </c>
    </row>
    <row r="49" spans="1:6" s="178" customFormat="1" x14ac:dyDescent="0.2">
      <c r="A49" s="179"/>
      <c r="B49" s="180"/>
      <c r="C49" s="180"/>
      <c r="D49" s="180"/>
      <c r="E49" s="180"/>
      <c r="F49" s="180"/>
    </row>
    <row r="50" spans="1:6" s="178" customFormat="1" x14ac:dyDescent="0.2">
      <c r="A50" s="181"/>
      <c r="B50" s="182"/>
      <c r="C50" s="182"/>
      <c r="D50" s="182"/>
      <c r="E50" s="182"/>
      <c r="F50" s="182"/>
    </row>
    <row r="51" spans="1:6" s="178" customFormat="1" x14ac:dyDescent="0.2">
      <c r="A51" s="181"/>
      <c r="B51" s="182"/>
      <c r="C51" s="182"/>
      <c r="D51" s="182"/>
      <c r="E51" s="182"/>
      <c r="F51" s="182"/>
    </row>
    <row r="52" spans="1:6" s="178" customFormat="1" ht="24" x14ac:dyDescent="0.3">
      <c r="A52" s="225" t="s">
        <v>27</v>
      </c>
      <c r="B52" s="191"/>
      <c r="C52" s="182"/>
      <c r="D52" s="182"/>
      <c r="E52" s="182"/>
      <c r="F52" s="182"/>
    </row>
    <row r="53" spans="1:6" s="178" customFormat="1" x14ac:dyDescent="0.2">
      <c r="A53" s="181"/>
      <c r="B53" s="182"/>
      <c r="C53" s="182"/>
      <c r="D53" s="182"/>
      <c r="E53" s="182"/>
      <c r="F53" s="182"/>
    </row>
    <row r="54" spans="1:6" s="178" customFormat="1" x14ac:dyDescent="0.2">
      <c r="A54" s="181"/>
      <c r="B54" s="182"/>
      <c r="C54" s="182"/>
      <c r="D54" s="182"/>
      <c r="E54" s="182"/>
      <c r="F54" s="182"/>
    </row>
    <row r="56" spans="1:6" x14ac:dyDescent="0.2">
      <c r="A56" s="183"/>
      <c r="B56" s="183"/>
      <c r="C56" s="183"/>
      <c r="D56" s="183"/>
      <c r="E56" s="183"/>
      <c r="F56" s="183"/>
    </row>
    <row r="57" spans="1:6" s="190" customFormat="1" ht="19" x14ac:dyDescent="0.25">
      <c r="A57" s="188" t="s">
        <v>120</v>
      </c>
      <c r="B57" s="189">
        <f>B7</f>
        <v>1985</v>
      </c>
      <c r="C57" s="189">
        <f>C7</f>
        <v>1986</v>
      </c>
      <c r="D57" s="189">
        <f>D7</f>
        <v>1987</v>
      </c>
      <c r="E57" s="189">
        <f>E7</f>
        <v>1988</v>
      </c>
      <c r="F57" s="189">
        <f>F7</f>
        <v>1989</v>
      </c>
    </row>
    <row r="58" spans="1:6" x14ac:dyDescent="0.2">
      <c r="A58" s="185"/>
      <c r="B58" s="155"/>
      <c r="C58" s="156"/>
      <c r="D58" s="156"/>
      <c r="E58" s="156"/>
      <c r="F58" s="156"/>
    </row>
    <row r="59" spans="1:6" x14ac:dyDescent="0.2">
      <c r="A59" s="186"/>
      <c r="B59" s="192"/>
      <c r="C59" s="153"/>
      <c r="D59" s="153"/>
      <c r="E59" s="153"/>
      <c r="F59" s="153"/>
    </row>
    <row r="60" spans="1:6" x14ac:dyDescent="0.2">
      <c r="A60" s="186" t="s">
        <v>16</v>
      </c>
      <c r="B60" s="192"/>
      <c r="C60" s="177">
        <f>C48</f>
        <v>19.096774193548413</v>
      </c>
      <c r="D60" s="177">
        <f t="shared" ref="D60:F60" si="1">D48</f>
        <v>29.099264705882376</v>
      </c>
      <c r="E60" s="177">
        <f t="shared" si="1"/>
        <v>36.183946488294339</v>
      </c>
      <c r="F60" s="177">
        <f t="shared" si="1"/>
        <v>42.098870056497162</v>
      </c>
    </row>
    <row r="61" spans="1:6" x14ac:dyDescent="0.2">
      <c r="A61" s="186"/>
      <c r="B61" s="192"/>
      <c r="C61" s="177"/>
      <c r="D61" s="177"/>
      <c r="E61" s="177"/>
      <c r="F61" s="177"/>
    </row>
    <row r="62" spans="1:6" x14ac:dyDescent="0.2">
      <c r="A62" s="186" t="s">
        <v>262</v>
      </c>
      <c r="B62" s="192"/>
      <c r="C62" s="177">
        <f>C33</f>
        <v>44</v>
      </c>
      <c r="D62" s="177">
        <f>D33</f>
        <v>53</v>
      </c>
      <c r="E62" s="177">
        <f>E33</f>
        <v>59</v>
      </c>
      <c r="F62" s="177">
        <f>F33</f>
        <v>60</v>
      </c>
    </row>
    <row r="63" spans="1:6" x14ac:dyDescent="0.2">
      <c r="A63" s="185"/>
      <c r="B63" s="192"/>
      <c r="C63" s="180"/>
      <c r="D63" s="180"/>
      <c r="E63" s="180"/>
      <c r="F63" s="180"/>
    </row>
    <row r="64" spans="1:6" x14ac:dyDescent="0.2">
      <c r="A64" s="186"/>
      <c r="B64" s="192"/>
      <c r="C64" s="177"/>
      <c r="D64" s="177"/>
      <c r="E64" s="177"/>
      <c r="F64" s="177"/>
    </row>
    <row r="65" spans="1:6" x14ac:dyDescent="0.2">
      <c r="A65" s="186" t="s">
        <v>122</v>
      </c>
      <c r="B65" s="192"/>
      <c r="C65" s="177">
        <f>C60+C62</f>
        <v>63.096774193548413</v>
      </c>
      <c r="D65" s="177">
        <f>D60+D62</f>
        <v>82.099264705882376</v>
      </c>
      <c r="E65" s="177">
        <f>E60+E62</f>
        <v>95.183946488294339</v>
      </c>
      <c r="F65" s="177">
        <f>F60+F62</f>
        <v>102.09887005649716</v>
      </c>
    </row>
    <row r="66" spans="1:6" x14ac:dyDescent="0.2">
      <c r="A66" s="186"/>
      <c r="B66" s="192"/>
      <c r="C66" s="177"/>
      <c r="D66" s="177"/>
      <c r="E66" s="177"/>
      <c r="F66" s="177"/>
    </row>
    <row r="67" spans="1:6" x14ac:dyDescent="0.2">
      <c r="A67" s="186" t="s">
        <v>129</v>
      </c>
      <c r="B67" s="192"/>
      <c r="C67" s="177">
        <f>'Historique Bilan'!B68-'Historique Bilan'!C68</f>
        <v>25</v>
      </c>
      <c r="D67" s="177">
        <f>'Historique Bilan'!C68-'Historique Bilan'!D68</f>
        <v>-14</v>
      </c>
      <c r="E67" s="177">
        <f>'Historique Bilan'!D68-'Historique Bilan'!E68</f>
        <v>4</v>
      </c>
      <c r="F67" s="177">
        <f>'Historique Bilan'!E68-'Historique Bilan'!F68</f>
        <v>10</v>
      </c>
    </row>
    <row r="68" spans="1:6" x14ac:dyDescent="0.2">
      <c r="A68" s="185"/>
      <c r="B68" s="192"/>
      <c r="C68" s="180"/>
      <c r="D68" s="180"/>
      <c r="E68" s="180"/>
      <c r="F68" s="180"/>
    </row>
    <row r="69" spans="1:6" x14ac:dyDescent="0.2">
      <c r="A69" s="186"/>
      <c r="B69" s="192"/>
      <c r="C69" s="177"/>
      <c r="D69" s="177"/>
      <c r="E69" s="177"/>
      <c r="F69" s="177"/>
    </row>
    <row r="70" spans="1:6" x14ac:dyDescent="0.2">
      <c r="A70" s="186" t="s">
        <v>130</v>
      </c>
      <c r="B70" s="192"/>
      <c r="C70" s="177">
        <f>C65+C67</f>
        <v>88.096774193548413</v>
      </c>
      <c r="D70" s="177">
        <f>D65+D67</f>
        <v>68.099264705882376</v>
      </c>
      <c r="E70" s="177">
        <f>E65+E67</f>
        <v>99.183946488294339</v>
      </c>
      <c r="F70" s="177">
        <f>F65+F67</f>
        <v>112.09887005649716</v>
      </c>
    </row>
    <row r="71" spans="1:6" x14ac:dyDescent="0.2">
      <c r="A71" s="186"/>
      <c r="B71" s="192"/>
      <c r="C71" s="177"/>
      <c r="D71" s="177"/>
      <c r="E71" s="177"/>
      <c r="F71" s="177"/>
    </row>
    <row r="72" spans="1:6" x14ac:dyDescent="0.2">
      <c r="A72" s="186" t="s">
        <v>261</v>
      </c>
      <c r="B72" s="192"/>
      <c r="C72" s="177">
        <v>-71</v>
      </c>
      <c r="D72" s="177">
        <v>-66</v>
      </c>
      <c r="E72" s="177">
        <v>-74</v>
      </c>
      <c r="F72" s="177">
        <v>-75</v>
      </c>
    </row>
    <row r="73" spans="1:6" x14ac:dyDescent="0.2">
      <c r="A73" s="185"/>
      <c r="B73" s="192"/>
      <c r="C73" s="180"/>
      <c r="D73" s="180"/>
      <c r="E73" s="180"/>
      <c r="F73" s="180"/>
    </row>
    <row r="74" spans="1:6" x14ac:dyDescent="0.2">
      <c r="A74" s="186"/>
      <c r="B74" s="192"/>
      <c r="C74" s="177"/>
      <c r="D74" s="177"/>
      <c r="E74" s="177"/>
      <c r="F74" s="177"/>
    </row>
    <row r="75" spans="1:6" x14ac:dyDescent="0.2">
      <c r="A75" s="186" t="s">
        <v>131</v>
      </c>
      <c r="B75" s="192"/>
      <c r="C75" s="177">
        <f>C70+C72</f>
        <v>17.096774193548413</v>
      </c>
      <c r="D75" s="177">
        <f>D70+D72</f>
        <v>2.0992647058823763</v>
      </c>
      <c r="E75" s="177">
        <f>E70+E72</f>
        <v>25.183946488294339</v>
      </c>
      <c r="F75" s="177">
        <f>F70+F72</f>
        <v>37.098870056497162</v>
      </c>
    </row>
    <row r="76" spans="1:6" x14ac:dyDescent="0.2">
      <c r="A76" s="186"/>
      <c r="B76" s="192"/>
      <c r="C76" s="177"/>
      <c r="D76" s="177"/>
      <c r="E76" s="177"/>
      <c r="F76" s="177"/>
    </row>
    <row r="77" spans="1:6" x14ac:dyDescent="0.2">
      <c r="A77" s="186" t="s">
        <v>132</v>
      </c>
      <c r="B77" s="192"/>
      <c r="C77" s="177">
        <f>'Historique Bilan'!C41-'Historique Bilan'!B41</f>
        <v>1</v>
      </c>
      <c r="D77" s="177">
        <f>'Historique Bilan'!D41-'Historique Bilan'!C41</f>
        <v>3</v>
      </c>
      <c r="E77" s="177">
        <f>'Historique Bilan'!E41-'Historique Bilan'!D41</f>
        <v>4</v>
      </c>
      <c r="F77" s="177">
        <f>'Historique Bilan'!F41-'Historique Bilan'!E41</f>
        <v>-7</v>
      </c>
    </row>
    <row r="78" spans="1:6" x14ac:dyDescent="0.2">
      <c r="A78" s="186"/>
      <c r="B78" s="192"/>
      <c r="C78" s="177"/>
      <c r="D78" s="177"/>
      <c r="E78" s="177"/>
      <c r="F78" s="177"/>
    </row>
    <row r="79" spans="1:6" x14ac:dyDescent="0.2">
      <c r="A79" s="186" t="s">
        <v>134</v>
      </c>
      <c r="B79" s="192"/>
      <c r="C79" s="177">
        <f>C82-(C75+C77)</f>
        <v>-9.6774193548412768E-2</v>
      </c>
      <c r="D79" s="177">
        <f t="shared" ref="D79:F79" si="2">D82-(D75+D77)</f>
        <v>6.9007352941176237</v>
      </c>
      <c r="E79" s="177">
        <f t="shared" si="2"/>
        <v>-1.1839464882943389</v>
      </c>
      <c r="F79" s="177">
        <f t="shared" si="2"/>
        <v>-10.098870056497162</v>
      </c>
    </row>
    <row r="80" spans="1:6" x14ac:dyDescent="0.2">
      <c r="A80" s="185"/>
      <c r="B80" s="192"/>
      <c r="C80" s="180"/>
      <c r="D80" s="180"/>
      <c r="E80" s="180"/>
      <c r="F80" s="180"/>
    </row>
    <row r="81" spans="1:6" x14ac:dyDescent="0.2">
      <c r="A81" s="186"/>
      <c r="B81" s="192"/>
      <c r="C81" s="177"/>
      <c r="D81" s="177"/>
      <c r="E81" s="177"/>
      <c r="F81" s="177"/>
    </row>
    <row r="82" spans="1:6" x14ac:dyDescent="0.2">
      <c r="A82" s="186" t="s">
        <v>133</v>
      </c>
      <c r="B82" s="192"/>
      <c r="C82" s="177">
        <f>'Historique Bilan'!C24-'Historique Bilan'!B24</f>
        <v>18</v>
      </c>
      <c r="D82" s="177">
        <f>'Historique Bilan'!D24-'Historique Bilan'!C24</f>
        <v>12</v>
      </c>
      <c r="E82" s="177">
        <f>'Historique Bilan'!E24-'Historique Bilan'!D24</f>
        <v>28</v>
      </c>
      <c r="F82" s="177">
        <f>'Historique Bilan'!F24-'Historique Bilan'!E24</f>
        <v>20</v>
      </c>
    </row>
    <row r="83" spans="1:6" x14ac:dyDescent="0.2">
      <c r="A83" s="185"/>
      <c r="B83" s="193"/>
      <c r="C83" s="180"/>
      <c r="D83" s="180"/>
      <c r="E83" s="180"/>
      <c r="F83" s="180"/>
    </row>
  </sheetData>
  <phoneticPr fontId="3" type="noConversion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2"/>
  <sheetViews>
    <sheetView showGridLines="0" workbookViewId="0">
      <selection sqref="A1:B1"/>
    </sheetView>
  </sheetViews>
  <sheetFormatPr baseColWidth="10" defaultRowHeight="13" x14ac:dyDescent="0.15"/>
  <cols>
    <col min="1" max="1" width="41.83203125" customWidth="1"/>
    <col min="2" max="6" width="11.1640625" customWidth="1"/>
  </cols>
  <sheetData>
    <row r="1" spans="1:6" ht="21" x14ac:dyDescent="0.25">
      <c r="A1" s="359" t="s">
        <v>28</v>
      </c>
      <c r="B1" s="360"/>
    </row>
    <row r="5" spans="1:6" ht="16" x14ac:dyDescent="0.2">
      <c r="A5" s="148"/>
      <c r="B5" s="149"/>
      <c r="C5" s="150"/>
      <c r="D5" s="150"/>
      <c r="E5" s="150"/>
      <c r="F5" s="150"/>
    </row>
    <row r="6" spans="1:6" ht="19" x14ac:dyDescent="0.25">
      <c r="A6" s="61" t="s">
        <v>123</v>
      </c>
      <c r="B6" s="169">
        <v>1985</v>
      </c>
      <c r="C6" s="61">
        <v>1986</v>
      </c>
      <c r="D6" s="61">
        <v>1987</v>
      </c>
      <c r="E6" s="61">
        <v>1988</v>
      </c>
      <c r="F6" s="61">
        <v>1989</v>
      </c>
    </row>
    <row r="7" spans="1:6" ht="16" x14ac:dyDescent="0.2">
      <c r="A7" s="151"/>
      <c r="B7" s="152"/>
      <c r="C7" s="153"/>
      <c r="D7" s="153"/>
      <c r="E7" s="153"/>
      <c r="F7" s="153" t="s">
        <v>85</v>
      </c>
    </row>
    <row r="8" spans="1:6" ht="16" x14ac:dyDescent="0.2">
      <c r="A8" s="154"/>
      <c r="B8" s="155"/>
      <c r="C8" s="156"/>
      <c r="D8" s="156"/>
      <c r="E8" s="156"/>
      <c r="F8" s="156"/>
    </row>
    <row r="9" spans="1:6" ht="16" x14ac:dyDescent="0.2">
      <c r="A9" s="121" t="s">
        <v>78</v>
      </c>
      <c r="B9" s="152"/>
      <c r="C9" s="153"/>
      <c r="D9" s="153"/>
      <c r="E9" s="153"/>
      <c r="F9" s="153"/>
    </row>
    <row r="10" spans="1:6" ht="16" x14ac:dyDescent="0.2">
      <c r="A10" s="151"/>
      <c r="B10" s="152"/>
      <c r="C10" s="153"/>
      <c r="D10" s="153"/>
      <c r="E10" s="153"/>
      <c r="F10" s="153"/>
    </row>
    <row r="11" spans="1:6" ht="16" x14ac:dyDescent="0.2">
      <c r="A11" s="157" t="s">
        <v>87</v>
      </c>
      <c r="B11" s="152">
        <v>82</v>
      </c>
      <c r="C11" s="153">
        <v>101</v>
      </c>
      <c r="D11" s="153">
        <v>120</v>
      </c>
      <c r="E11" s="153">
        <v>134</v>
      </c>
      <c r="F11" s="153">
        <v>140</v>
      </c>
    </row>
    <row r="12" spans="1:6" ht="16" x14ac:dyDescent="0.2">
      <c r="A12" s="157"/>
      <c r="B12" s="152"/>
      <c r="C12" s="153"/>
      <c r="D12" s="153"/>
      <c r="E12" s="153"/>
      <c r="F12" s="153"/>
    </row>
    <row r="13" spans="1:6" ht="16" x14ac:dyDescent="0.2">
      <c r="A13" s="157" t="s">
        <v>88</v>
      </c>
      <c r="B13" s="152">
        <v>5</v>
      </c>
      <c r="C13" s="153">
        <v>13</v>
      </c>
      <c r="D13" s="153">
        <v>7</v>
      </c>
      <c r="E13" s="153">
        <v>8</v>
      </c>
      <c r="F13" s="153">
        <v>17</v>
      </c>
    </row>
    <row r="14" spans="1:6" ht="16" x14ac:dyDescent="0.2">
      <c r="A14" s="158"/>
      <c r="B14" s="155"/>
      <c r="C14" s="156"/>
      <c r="D14" s="156"/>
      <c r="E14" s="156"/>
      <c r="F14" s="156"/>
    </row>
    <row r="15" spans="1:6" ht="16" x14ac:dyDescent="0.2">
      <c r="A15" s="157"/>
      <c r="B15" s="152"/>
      <c r="C15" s="153"/>
      <c r="D15" s="153"/>
      <c r="E15" s="153"/>
      <c r="F15" s="153"/>
    </row>
    <row r="16" spans="1:6" ht="19" x14ac:dyDescent="0.25">
      <c r="A16" s="165" t="s">
        <v>92</v>
      </c>
      <c r="B16" s="166">
        <f>SUM(B11:B15)</f>
        <v>87</v>
      </c>
      <c r="C16" s="167">
        <f>SUM(C11:C15)</f>
        <v>114</v>
      </c>
      <c r="D16" s="167">
        <f>SUM(D11:D15)</f>
        <v>127</v>
      </c>
      <c r="E16" s="167">
        <f>SUM(E11:E15)</f>
        <v>142</v>
      </c>
      <c r="F16" s="167">
        <f>SUM(F11:F15)</f>
        <v>157</v>
      </c>
    </row>
    <row r="17" spans="1:6" ht="16" x14ac:dyDescent="0.2">
      <c r="A17" s="157"/>
      <c r="B17" s="152"/>
      <c r="C17" s="153"/>
      <c r="D17" s="153"/>
      <c r="E17" s="153"/>
      <c r="F17" s="153"/>
    </row>
    <row r="18" spans="1:6" ht="16" x14ac:dyDescent="0.2">
      <c r="A18" s="157" t="s">
        <v>89</v>
      </c>
      <c r="B18" s="152">
        <v>11</v>
      </c>
      <c r="C18" s="153">
        <v>13</v>
      </c>
      <c r="D18" s="153">
        <v>43</v>
      </c>
      <c r="E18" s="153">
        <v>44</v>
      </c>
      <c r="F18" s="153">
        <v>42</v>
      </c>
    </row>
    <row r="19" spans="1:6" ht="16" x14ac:dyDescent="0.2">
      <c r="A19" s="157"/>
      <c r="B19" s="152"/>
      <c r="C19" s="153"/>
      <c r="D19" s="153"/>
      <c r="E19" s="153"/>
      <c r="F19" s="153"/>
    </row>
    <row r="20" spans="1:6" ht="16" x14ac:dyDescent="0.2">
      <c r="A20" s="157" t="s">
        <v>90</v>
      </c>
      <c r="B20" s="152">
        <v>57</v>
      </c>
      <c r="C20" s="153">
        <v>52</v>
      </c>
      <c r="D20" s="153">
        <v>62</v>
      </c>
      <c r="E20" s="153">
        <v>67</v>
      </c>
      <c r="F20" s="153">
        <v>73</v>
      </c>
    </row>
    <row r="21" spans="1:6" ht="16" x14ac:dyDescent="0.2">
      <c r="A21" s="157"/>
      <c r="B21" s="152"/>
      <c r="C21" s="153"/>
      <c r="D21" s="153"/>
      <c r="E21" s="153"/>
      <c r="F21" s="153"/>
    </row>
    <row r="22" spans="1:6" ht="16" x14ac:dyDescent="0.2">
      <c r="A22" s="157" t="s">
        <v>101</v>
      </c>
      <c r="B22" s="152">
        <v>10</v>
      </c>
      <c r="C22" s="153">
        <v>2</v>
      </c>
      <c r="D22" s="153">
        <v>13</v>
      </c>
      <c r="E22" s="153">
        <v>18</v>
      </c>
      <c r="F22" s="153">
        <v>20</v>
      </c>
    </row>
    <row r="23" spans="1:6" ht="16" x14ac:dyDescent="0.2">
      <c r="A23" s="157"/>
      <c r="B23" s="152"/>
      <c r="C23" s="153"/>
      <c r="D23" s="153"/>
      <c r="E23" s="153"/>
      <c r="F23" s="153"/>
    </row>
    <row r="24" spans="1:6" ht="16" x14ac:dyDescent="0.2">
      <c r="A24" s="157" t="s">
        <v>91</v>
      </c>
      <c r="B24" s="152">
        <v>32</v>
      </c>
      <c r="C24" s="153">
        <v>50</v>
      </c>
      <c r="D24" s="153">
        <v>62</v>
      </c>
      <c r="E24" s="153">
        <v>90</v>
      </c>
      <c r="F24" s="153">
        <v>110</v>
      </c>
    </row>
    <row r="25" spans="1:6" ht="16" x14ac:dyDescent="0.2">
      <c r="A25" s="158"/>
      <c r="B25" s="155"/>
      <c r="C25" s="156"/>
      <c r="D25" s="156"/>
      <c r="E25" s="156"/>
      <c r="F25" s="156"/>
    </row>
    <row r="26" spans="1:6" ht="16" x14ac:dyDescent="0.2">
      <c r="A26" s="157"/>
      <c r="B26" s="152"/>
      <c r="C26" s="153"/>
      <c r="D26" s="153"/>
      <c r="E26" s="153"/>
      <c r="F26" s="153"/>
    </row>
    <row r="27" spans="1:6" s="168" customFormat="1" ht="19" x14ac:dyDescent="0.25">
      <c r="A27" s="165" t="s">
        <v>93</v>
      </c>
      <c r="B27" s="166">
        <f>SUM(B18:B25)</f>
        <v>110</v>
      </c>
      <c r="C27" s="167">
        <f>SUM(C18:C25)</f>
        <v>117</v>
      </c>
      <c r="D27" s="167">
        <f>SUM(D18:D25)</f>
        <v>180</v>
      </c>
      <c r="E27" s="167">
        <f>SUM(E18:E25)</f>
        <v>219</v>
      </c>
      <c r="F27" s="167">
        <f>SUM(F18:F25)</f>
        <v>245</v>
      </c>
    </row>
    <row r="28" spans="1:6" ht="16" x14ac:dyDescent="0.2">
      <c r="A28" s="157"/>
      <c r="B28" s="152"/>
      <c r="C28" s="153"/>
      <c r="D28" s="153"/>
      <c r="E28" s="153"/>
      <c r="F28" s="153"/>
    </row>
    <row r="29" spans="1:6" s="168" customFormat="1" ht="19" x14ac:dyDescent="0.25">
      <c r="A29" s="165" t="s">
        <v>94</v>
      </c>
      <c r="B29" s="166">
        <f>B16+B27</f>
        <v>197</v>
      </c>
      <c r="C29" s="167">
        <f>C16+C27</f>
        <v>231</v>
      </c>
      <c r="D29" s="167">
        <f>D16+D27</f>
        <v>307</v>
      </c>
      <c r="E29" s="167">
        <f>E16+E27</f>
        <v>361</v>
      </c>
      <c r="F29" s="167">
        <f>F16+F27</f>
        <v>402</v>
      </c>
    </row>
    <row r="30" spans="1:6" ht="16" x14ac:dyDescent="0.2">
      <c r="A30" s="158"/>
      <c r="B30" s="155"/>
      <c r="C30" s="156"/>
      <c r="D30" s="156"/>
      <c r="E30" s="156"/>
      <c r="F30" s="156"/>
    </row>
    <row r="31" spans="1:6" ht="16" x14ac:dyDescent="0.2">
      <c r="A31" s="148"/>
      <c r="B31" s="149"/>
      <c r="C31" s="150"/>
      <c r="D31" s="150"/>
      <c r="E31" s="150"/>
      <c r="F31" s="150"/>
    </row>
    <row r="32" spans="1:6" ht="19" x14ac:dyDescent="0.25">
      <c r="A32" s="61" t="s">
        <v>123</v>
      </c>
      <c r="B32" s="169">
        <v>1985</v>
      </c>
      <c r="C32" s="61">
        <v>1986</v>
      </c>
      <c r="D32" s="61">
        <v>1987</v>
      </c>
      <c r="E32" s="61">
        <v>1988</v>
      </c>
      <c r="F32" s="61">
        <v>1989</v>
      </c>
    </row>
    <row r="33" spans="1:6" ht="16" x14ac:dyDescent="0.2">
      <c r="A33" s="151"/>
      <c r="B33" s="152"/>
      <c r="C33" s="153"/>
      <c r="D33" s="153"/>
      <c r="E33" s="153"/>
      <c r="F33" s="153" t="s">
        <v>85</v>
      </c>
    </row>
    <row r="34" spans="1:6" ht="16" x14ac:dyDescent="0.2">
      <c r="A34" s="154"/>
      <c r="B34" s="155"/>
      <c r="C34" s="156"/>
      <c r="D34" s="156"/>
      <c r="E34" s="156"/>
      <c r="F34" s="156"/>
    </row>
    <row r="35" spans="1:6" ht="16" x14ac:dyDescent="0.2">
      <c r="A35" s="159" t="s">
        <v>79</v>
      </c>
      <c r="B35" s="160"/>
      <c r="C35" s="161"/>
      <c r="D35" s="161"/>
      <c r="E35" s="161"/>
      <c r="F35" s="161"/>
    </row>
    <row r="36" spans="1:6" ht="16" x14ac:dyDescent="0.2">
      <c r="A36" s="157"/>
      <c r="B36" s="152"/>
      <c r="C36" s="153"/>
      <c r="D36" s="153"/>
      <c r="E36" s="153"/>
      <c r="F36" s="153"/>
    </row>
    <row r="37" spans="1:6" ht="16" x14ac:dyDescent="0.2">
      <c r="A37" s="157" t="s">
        <v>95</v>
      </c>
      <c r="B37" s="152">
        <v>69</v>
      </c>
      <c r="C37" s="153">
        <v>82</v>
      </c>
      <c r="D37" s="153">
        <v>110</v>
      </c>
      <c r="E37" s="153">
        <v>139</v>
      </c>
      <c r="F37" s="153">
        <v>171</v>
      </c>
    </row>
    <row r="38" spans="1:6" ht="16" x14ac:dyDescent="0.2">
      <c r="A38" s="157"/>
      <c r="B38" s="152"/>
      <c r="C38" s="153"/>
      <c r="D38" s="153"/>
      <c r="E38" s="153"/>
      <c r="F38" s="153"/>
    </row>
    <row r="39" spans="1:6" ht="16" x14ac:dyDescent="0.2">
      <c r="A39" s="157" t="s">
        <v>96</v>
      </c>
      <c r="B39" s="152">
        <v>0</v>
      </c>
      <c r="C39" s="153">
        <v>6</v>
      </c>
      <c r="D39" s="153">
        <v>14</v>
      </c>
      <c r="E39" s="153">
        <v>20</v>
      </c>
      <c r="F39" s="153">
        <v>20</v>
      </c>
    </row>
    <row r="40" spans="1:6" ht="16" x14ac:dyDescent="0.2">
      <c r="A40" s="157"/>
      <c r="B40" s="152"/>
      <c r="C40" s="153"/>
      <c r="D40" s="153"/>
      <c r="E40" s="153"/>
      <c r="F40" s="153"/>
    </row>
    <row r="41" spans="1:6" ht="16" x14ac:dyDescent="0.2">
      <c r="A41" s="157" t="s">
        <v>97</v>
      </c>
      <c r="B41" s="152">
        <v>12</v>
      </c>
      <c r="C41" s="153">
        <v>13</v>
      </c>
      <c r="D41" s="153">
        <v>16</v>
      </c>
      <c r="E41" s="153">
        <v>20</v>
      </c>
      <c r="F41" s="153">
        <v>13</v>
      </c>
    </row>
    <row r="42" spans="1:6" ht="16" x14ac:dyDescent="0.2">
      <c r="A42" s="158"/>
      <c r="B42" s="155"/>
      <c r="C42" s="156"/>
      <c r="D42" s="156"/>
      <c r="E42" s="156"/>
      <c r="F42" s="156"/>
    </row>
    <row r="43" spans="1:6" ht="16" x14ac:dyDescent="0.2">
      <c r="A43" s="157"/>
      <c r="B43" s="152"/>
      <c r="C43" s="153"/>
      <c r="D43" s="153"/>
      <c r="E43" s="153"/>
      <c r="F43" s="153"/>
    </row>
    <row r="44" spans="1:6" ht="19" x14ac:dyDescent="0.25">
      <c r="A44" s="165" t="s">
        <v>98</v>
      </c>
      <c r="B44" s="166">
        <f>B37+B39+B41</f>
        <v>81</v>
      </c>
      <c r="C44" s="166">
        <f t="shared" ref="C44:F44" si="0">C37+C39+C41</f>
        <v>101</v>
      </c>
      <c r="D44" s="166">
        <f t="shared" si="0"/>
        <v>140</v>
      </c>
      <c r="E44" s="166">
        <f t="shared" si="0"/>
        <v>179</v>
      </c>
      <c r="F44" s="166">
        <f t="shared" si="0"/>
        <v>204</v>
      </c>
    </row>
    <row r="45" spans="1:6" ht="16" x14ac:dyDescent="0.2">
      <c r="A45" s="157"/>
      <c r="B45" s="152"/>
      <c r="C45" s="153"/>
      <c r="D45" s="153"/>
      <c r="E45" s="153"/>
      <c r="F45" s="153"/>
    </row>
    <row r="46" spans="1:6" ht="16" x14ac:dyDescent="0.2">
      <c r="A46" s="157" t="s">
        <v>99</v>
      </c>
      <c r="B46" s="152">
        <v>11</v>
      </c>
      <c r="C46" s="153">
        <v>20</v>
      </c>
      <c r="D46" s="153">
        <v>29</v>
      </c>
      <c r="E46" s="153">
        <v>32</v>
      </c>
      <c r="F46" s="153">
        <v>35</v>
      </c>
    </row>
    <row r="47" spans="1:6" ht="16" x14ac:dyDescent="0.2">
      <c r="A47" s="157"/>
      <c r="B47" s="152"/>
      <c r="C47" s="153"/>
      <c r="D47" s="153"/>
      <c r="E47" s="153"/>
      <c r="F47" s="153"/>
    </row>
    <row r="48" spans="1:6" ht="16" x14ac:dyDescent="0.2">
      <c r="A48" s="157" t="s">
        <v>100</v>
      </c>
      <c r="B48" s="152">
        <v>75</v>
      </c>
      <c r="C48" s="153">
        <v>78</v>
      </c>
      <c r="D48" s="153">
        <v>88</v>
      </c>
      <c r="E48" s="153">
        <v>92</v>
      </c>
      <c r="F48" s="153">
        <v>100</v>
      </c>
    </row>
    <row r="49" spans="1:6" ht="16" x14ac:dyDescent="0.2">
      <c r="A49" s="157"/>
      <c r="B49" s="152"/>
      <c r="C49" s="153"/>
      <c r="D49" s="153"/>
      <c r="E49" s="153"/>
      <c r="F49" s="153"/>
    </row>
    <row r="50" spans="1:6" ht="16" x14ac:dyDescent="0.2">
      <c r="A50" s="157" t="s">
        <v>102</v>
      </c>
      <c r="B50" s="152">
        <v>30</v>
      </c>
      <c r="C50" s="153">
        <v>32</v>
      </c>
      <c r="D50" s="153">
        <v>50</v>
      </c>
      <c r="E50" s="153">
        <v>58</v>
      </c>
      <c r="F50" s="153">
        <v>63</v>
      </c>
    </row>
    <row r="51" spans="1:6" ht="16" x14ac:dyDescent="0.2">
      <c r="A51" s="158"/>
      <c r="B51" s="155"/>
      <c r="C51" s="156"/>
      <c r="D51" s="156"/>
      <c r="E51" s="156"/>
      <c r="F51" s="156"/>
    </row>
    <row r="52" spans="1:6" ht="16" x14ac:dyDescent="0.2">
      <c r="A52" s="157"/>
      <c r="B52" s="152"/>
      <c r="C52" s="153"/>
      <c r="D52" s="153"/>
      <c r="E52" s="153"/>
      <c r="F52" s="153"/>
    </row>
    <row r="53" spans="1:6" ht="19" x14ac:dyDescent="0.25">
      <c r="A53" s="165" t="s">
        <v>103</v>
      </c>
      <c r="B53" s="166">
        <f>SUM(B46:B50)</f>
        <v>116</v>
      </c>
      <c r="C53" s="167">
        <f>SUM(C46:C50)</f>
        <v>130</v>
      </c>
      <c r="D53" s="167">
        <f>SUM(D46:D50)</f>
        <v>167</v>
      </c>
      <c r="E53" s="167">
        <f>SUM(E46:E50)</f>
        <v>182</v>
      </c>
      <c r="F53" s="167">
        <f>SUM(F46:F50)</f>
        <v>198</v>
      </c>
    </row>
    <row r="54" spans="1:6" ht="16" x14ac:dyDescent="0.2">
      <c r="A54" s="157"/>
      <c r="B54" s="152"/>
      <c r="C54" s="153"/>
      <c r="D54" s="153"/>
      <c r="E54" s="153"/>
      <c r="F54" s="153"/>
    </row>
    <row r="55" spans="1:6" ht="16" x14ac:dyDescent="0.2">
      <c r="A55" s="162"/>
      <c r="B55" s="163"/>
      <c r="C55" s="164"/>
      <c r="D55" s="164"/>
      <c r="E55" s="164"/>
      <c r="F55" s="164"/>
    </row>
    <row r="56" spans="1:6" s="168" customFormat="1" ht="19" x14ac:dyDescent="0.25">
      <c r="A56" s="165" t="s">
        <v>104</v>
      </c>
      <c r="B56" s="166">
        <f>B44+B53</f>
        <v>197</v>
      </c>
      <c r="C56" s="166">
        <f t="shared" ref="C56:F56" si="1">C44+C53</f>
        <v>231</v>
      </c>
      <c r="D56" s="166">
        <f t="shared" si="1"/>
        <v>307</v>
      </c>
      <c r="E56" s="166">
        <f t="shared" si="1"/>
        <v>361</v>
      </c>
      <c r="F56" s="166">
        <f t="shared" si="1"/>
        <v>402</v>
      </c>
    </row>
    <row r="57" spans="1:6" ht="16" x14ac:dyDescent="0.2">
      <c r="A57" s="158"/>
      <c r="B57" s="155"/>
      <c r="C57" s="156"/>
      <c r="D57" s="156"/>
      <c r="E57" s="156"/>
      <c r="F57" s="156"/>
    </row>
    <row r="58" spans="1:6" x14ac:dyDescent="0.15">
      <c r="A58" s="147"/>
    </row>
    <row r="59" spans="1:6" x14ac:dyDescent="0.15">
      <c r="A59" s="147"/>
    </row>
    <row r="60" spans="1:6" x14ac:dyDescent="0.15">
      <c r="A60" s="147"/>
    </row>
    <row r="61" spans="1:6" ht="16" x14ac:dyDescent="0.2">
      <c r="A61" s="148"/>
      <c r="B61" s="149"/>
      <c r="C61" s="150"/>
      <c r="D61" s="150"/>
      <c r="E61" s="150"/>
      <c r="F61" s="150"/>
    </row>
    <row r="62" spans="1:6" ht="19" x14ac:dyDescent="0.25">
      <c r="A62" s="61" t="s">
        <v>124</v>
      </c>
      <c r="B62" s="169">
        <v>1985</v>
      </c>
      <c r="C62" s="61">
        <v>1986</v>
      </c>
      <c r="D62" s="61">
        <v>1987</v>
      </c>
      <c r="E62" s="61">
        <v>1988</v>
      </c>
      <c r="F62" s="61">
        <v>1989</v>
      </c>
    </row>
    <row r="63" spans="1:6" ht="16" x14ac:dyDescent="0.2">
      <c r="A63" s="151"/>
      <c r="B63" s="152"/>
      <c r="C63" s="153"/>
      <c r="D63" s="153"/>
      <c r="E63" s="153"/>
      <c r="F63" s="153" t="s">
        <v>85</v>
      </c>
    </row>
    <row r="64" spans="1:6" ht="16" x14ac:dyDescent="0.2">
      <c r="A64" s="151"/>
      <c r="B64" s="152"/>
      <c r="C64" s="153"/>
      <c r="D64" s="153"/>
      <c r="E64" s="153"/>
      <c r="F64" s="153"/>
    </row>
    <row r="65" spans="1:6" ht="16" x14ac:dyDescent="0.2">
      <c r="A65" s="183"/>
      <c r="B65" s="195"/>
      <c r="C65" s="195"/>
      <c r="D65" s="195"/>
      <c r="E65" s="195"/>
      <c r="F65" s="195"/>
    </row>
    <row r="66" spans="1:6" ht="16" x14ac:dyDescent="0.2">
      <c r="A66" s="175" t="s">
        <v>92</v>
      </c>
      <c r="B66" s="196">
        <f>B16</f>
        <v>87</v>
      </c>
      <c r="C66" s="196">
        <f t="shared" ref="C66:F66" si="2">C16</f>
        <v>114</v>
      </c>
      <c r="D66" s="196">
        <f t="shared" si="2"/>
        <v>127</v>
      </c>
      <c r="E66" s="196">
        <f t="shared" si="2"/>
        <v>142</v>
      </c>
      <c r="F66" s="196">
        <f t="shared" si="2"/>
        <v>157</v>
      </c>
    </row>
    <row r="67" spans="1:6" ht="16" x14ac:dyDescent="0.2">
      <c r="A67" s="175"/>
      <c r="B67" s="196"/>
      <c r="C67" s="196"/>
      <c r="D67" s="196"/>
      <c r="E67" s="196"/>
      <c r="F67" s="196"/>
    </row>
    <row r="68" spans="1:6" ht="16" x14ac:dyDescent="0.2">
      <c r="A68" s="175" t="s">
        <v>125</v>
      </c>
      <c r="B68" s="196">
        <f>B18+B20+B22-(B46+B48+B50)</f>
        <v>-38</v>
      </c>
      <c r="C68" s="196">
        <f t="shared" ref="C68:F68" si="3">C18+C20+C22-(C46+C48+C50)</f>
        <v>-63</v>
      </c>
      <c r="D68" s="196">
        <f t="shared" si="3"/>
        <v>-49</v>
      </c>
      <c r="E68" s="196">
        <f t="shared" si="3"/>
        <v>-53</v>
      </c>
      <c r="F68" s="196">
        <f t="shared" si="3"/>
        <v>-63</v>
      </c>
    </row>
    <row r="69" spans="1:6" ht="16" x14ac:dyDescent="0.2">
      <c r="A69" s="175"/>
      <c r="B69" s="196"/>
      <c r="C69" s="196"/>
      <c r="D69" s="196"/>
      <c r="E69" s="196"/>
      <c r="F69" s="196"/>
    </row>
    <row r="70" spans="1:6" ht="16" x14ac:dyDescent="0.2">
      <c r="A70" s="175" t="s">
        <v>198</v>
      </c>
      <c r="B70" s="196">
        <f>-B39</f>
        <v>0</v>
      </c>
      <c r="C70" s="196">
        <f t="shared" ref="C70:F70" si="4">-C39</f>
        <v>-6</v>
      </c>
      <c r="D70" s="196">
        <f t="shared" si="4"/>
        <v>-14</v>
      </c>
      <c r="E70" s="196">
        <f t="shared" si="4"/>
        <v>-20</v>
      </c>
      <c r="F70" s="196">
        <f t="shared" si="4"/>
        <v>-20</v>
      </c>
    </row>
    <row r="71" spans="1:6" ht="16" x14ac:dyDescent="0.2">
      <c r="A71" s="175"/>
      <c r="B71" s="196"/>
      <c r="C71" s="196"/>
      <c r="D71" s="196"/>
      <c r="E71" s="196"/>
      <c r="F71" s="196"/>
    </row>
    <row r="72" spans="1:6" s="168" customFormat="1" ht="18" x14ac:dyDescent="0.2">
      <c r="A72" s="200" t="s">
        <v>126</v>
      </c>
      <c r="B72" s="201">
        <f>B66+B68+B70</f>
        <v>49</v>
      </c>
      <c r="C72" s="201">
        <f t="shared" ref="C72:F72" si="5">C66+C68+C70</f>
        <v>45</v>
      </c>
      <c r="D72" s="201">
        <f t="shared" si="5"/>
        <v>64</v>
      </c>
      <c r="E72" s="201">
        <f t="shared" si="5"/>
        <v>69</v>
      </c>
      <c r="F72" s="201">
        <f t="shared" si="5"/>
        <v>74</v>
      </c>
    </row>
    <row r="73" spans="1:6" ht="16" x14ac:dyDescent="0.2">
      <c r="A73" s="197"/>
      <c r="B73" s="198"/>
      <c r="C73" s="198"/>
      <c r="D73" s="198"/>
      <c r="E73" s="198"/>
      <c r="F73" s="198"/>
    </row>
    <row r="74" spans="1:6" ht="16" x14ac:dyDescent="0.2">
      <c r="A74" s="183"/>
      <c r="B74" s="199"/>
      <c r="C74" s="199"/>
      <c r="D74" s="199"/>
      <c r="E74" s="199"/>
      <c r="F74" s="199"/>
    </row>
    <row r="75" spans="1:6" ht="16" x14ac:dyDescent="0.2">
      <c r="A75" s="175" t="s">
        <v>95</v>
      </c>
      <c r="B75" s="196">
        <f>B37</f>
        <v>69</v>
      </c>
      <c r="C75" s="196">
        <f t="shared" ref="C75:F75" si="6">C37</f>
        <v>82</v>
      </c>
      <c r="D75" s="196">
        <f t="shared" si="6"/>
        <v>110</v>
      </c>
      <c r="E75" s="196">
        <f t="shared" si="6"/>
        <v>139</v>
      </c>
      <c r="F75" s="196">
        <f t="shared" si="6"/>
        <v>171</v>
      </c>
    </row>
    <row r="76" spans="1:6" ht="16" x14ac:dyDescent="0.2">
      <c r="A76" s="175"/>
      <c r="B76" s="196"/>
      <c r="C76" s="196"/>
      <c r="D76" s="196"/>
      <c r="E76" s="196"/>
      <c r="F76" s="196"/>
    </row>
    <row r="77" spans="1:6" ht="16" x14ac:dyDescent="0.2">
      <c r="A77" s="175" t="s">
        <v>127</v>
      </c>
      <c r="B77" s="196">
        <f>B41-B24</f>
        <v>-20</v>
      </c>
      <c r="C77" s="196">
        <f t="shared" ref="C77:F77" si="7">C41-C24</f>
        <v>-37</v>
      </c>
      <c r="D77" s="196">
        <f t="shared" si="7"/>
        <v>-46</v>
      </c>
      <c r="E77" s="196">
        <f t="shared" si="7"/>
        <v>-70</v>
      </c>
      <c r="F77" s="196">
        <f t="shared" si="7"/>
        <v>-97</v>
      </c>
    </row>
    <row r="78" spans="1:6" ht="16" x14ac:dyDescent="0.2">
      <c r="A78" s="175"/>
      <c r="B78" s="196"/>
      <c r="C78" s="196"/>
      <c r="D78" s="196"/>
      <c r="E78" s="196"/>
      <c r="F78" s="196"/>
    </row>
    <row r="79" spans="1:6" s="168" customFormat="1" ht="18" x14ac:dyDescent="0.2">
      <c r="A79" s="200" t="s">
        <v>128</v>
      </c>
      <c r="B79" s="201">
        <f>B75+B77</f>
        <v>49</v>
      </c>
      <c r="C79" s="201">
        <f t="shared" ref="C79:F79" si="8">C75+C77</f>
        <v>45</v>
      </c>
      <c r="D79" s="201">
        <f t="shared" si="8"/>
        <v>64</v>
      </c>
      <c r="E79" s="201">
        <f t="shared" si="8"/>
        <v>69</v>
      </c>
      <c r="F79" s="201">
        <f t="shared" si="8"/>
        <v>74</v>
      </c>
    </row>
    <row r="80" spans="1:6" ht="16" x14ac:dyDescent="0.2">
      <c r="A80" s="197"/>
      <c r="B80" s="198"/>
      <c r="C80" s="198"/>
      <c r="D80" s="198"/>
      <c r="E80" s="198"/>
      <c r="F80" s="198"/>
    </row>
    <row r="81" spans="1:6" ht="16" x14ac:dyDescent="0.2">
      <c r="A81" s="148"/>
      <c r="B81" s="149"/>
      <c r="C81" s="150"/>
      <c r="D81" s="150"/>
      <c r="E81" s="150"/>
      <c r="F81" s="150"/>
    </row>
    <row r="82" spans="1:6" ht="19" x14ac:dyDescent="0.25">
      <c r="A82" s="61" t="s">
        <v>124</v>
      </c>
      <c r="B82" s="169">
        <v>1985</v>
      </c>
      <c r="C82" s="61">
        <v>1986</v>
      </c>
      <c r="D82" s="61">
        <v>1987</v>
      </c>
      <c r="E82" s="61">
        <v>1988</v>
      </c>
      <c r="F82" s="61">
        <v>1989</v>
      </c>
    </row>
    <row r="83" spans="1:6" ht="16" x14ac:dyDescent="0.2">
      <c r="A83" s="151"/>
      <c r="B83" s="152"/>
      <c r="C83" s="153"/>
      <c r="D83" s="153"/>
      <c r="E83" s="153"/>
      <c r="F83" s="153" t="s">
        <v>85</v>
      </c>
    </row>
    <row r="84" spans="1:6" ht="16" x14ac:dyDescent="0.2">
      <c r="A84" s="151"/>
      <c r="B84" s="152"/>
      <c r="C84" s="153"/>
      <c r="D84" s="153"/>
      <c r="E84" s="153"/>
      <c r="F84" s="153"/>
    </row>
    <row r="85" spans="1:6" ht="16" x14ac:dyDescent="0.2">
      <c r="A85" s="183"/>
      <c r="B85" s="199"/>
      <c r="C85" s="199"/>
      <c r="D85" s="199"/>
      <c r="E85" s="199"/>
      <c r="F85" s="199"/>
    </row>
    <row r="86" spans="1:6" ht="16" x14ac:dyDescent="0.2">
      <c r="A86" s="175" t="s">
        <v>135</v>
      </c>
      <c r="B86" s="196">
        <f>B44-B16</f>
        <v>-6</v>
      </c>
      <c r="C86" s="196">
        <f t="shared" ref="C86:F86" si="9">C44-C16</f>
        <v>-13</v>
      </c>
      <c r="D86" s="196">
        <f t="shared" si="9"/>
        <v>13</v>
      </c>
      <c r="E86" s="196">
        <f t="shared" si="9"/>
        <v>37</v>
      </c>
      <c r="F86" s="196">
        <f t="shared" si="9"/>
        <v>47</v>
      </c>
    </row>
    <row r="87" spans="1:6" ht="16" x14ac:dyDescent="0.2">
      <c r="A87" s="175"/>
      <c r="B87" s="196"/>
      <c r="C87" s="196"/>
      <c r="D87" s="196"/>
      <c r="E87" s="196"/>
      <c r="F87" s="196"/>
    </row>
    <row r="88" spans="1:6" ht="16" x14ac:dyDescent="0.2">
      <c r="A88" s="175" t="s">
        <v>136</v>
      </c>
      <c r="B88" s="196">
        <f>-B68</f>
        <v>38</v>
      </c>
      <c r="C88" s="196">
        <f t="shared" ref="C88:F88" si="10">-C68</f>
        <v>63</v>
      </c>
      <c r="D88" s="196">
        <f t="shared" si="10"/>
        <v>49</v>
      </c>
      <c r="E88" s="196">
        <f t="shared" si="10"/>
        <v>53</v>
      </c>
      <c r="F88" s="196">
        <f t="shared" si="10"/>
        <v>63</v>
      </c>
    </row>
    <row r="89" spans="1:6" ht="16" x14ac:dyDescent="0.2">
      <c r="A89" s="175"/>
      <c r="B89" s="196"/>
      <c r="C89" s="196"/>
      <c r="D89" s="196"/>
      <c r="E89" s="196"/>
      <c r="F89" s="196"/>
    </row>
    <row r="90" spans="1:6" ht="16" x14ac:dyDescent="0.2">
      <c r="A90" s="175" t="s">
        <v>137</v>
      </c>
      <c r="B90" s="196">
        <f>B86+B88</f>
        <v>32</v>
      </c>
      <c r="C90" s="196">
        <f t="shared" ref="C90:F90" si="11">C86+C88</f>
        <v>50</v>
      </c>
      <c r="D90" s="196">
        <f t="shared" si="11"/>
        <v>62</v>
      </c>
      <c r="E90" s="196">
        <f t="shared" si="11"/>
        <v>90</v>
      </c>
      <c r="F90" s="196">
        <f t="shared" si="11"/>
        <v>110</v>
      </c>
    </row>
    <row r="91" spans="1:6" ht="16" x14ac:dyDescent="0.2">
      <c r="A91" s="197"/>
      <c r="B91" s="198"/>
      <c r="C91" s="198"/>
      <c r="D91" s="198"/>
      <c r="E91" s="198"/>
      <c r="F91" s="198"/>
    </row>
    <row r="92" spans="1:6" ht="16" x14ac:dyDescent="0.2">
      <c r="A92" s="174"/>
      <c r="B92" s="194"/>
      <c r="C92" s="194"/>
      <c r="D92" s="194"/>
      <c r="E92" s="194"/>
      <c r="F92" s="194"/>
    </row>
  </sheetData>
  <mergeCells count="1">
    <mergeCell ref="A1:B1"/>
  </mergeCells>
  <phoneticPr fontId="3" type="noConversion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6"/>
  <sheetViews>
    <sheetView showGridLines="0" zoomScale="130" zoomScaleNormal="130" workbookViewId="0"/>
  </sheetViews>
  <sheetFormatPr baseColWidth="10" defaultRowHeight="13" x14ac:dyDescent="0.15"/>
  <cols>
    <col min="1" max="1" width="48.83203125" customWidth="1"/>
  </cols>
  <sheetData>
    <row r="1" spans="1:6" ht="24" x14ac:dyDescent="0.3">
      <c r="A1" s="66" t="s">
        <v>138</v>
      </c>
      <c r="C1" s="4"/>
      <c r="D1" s="4"/>
      <c r="E1" s="4"/>
      <c r="F1" s="4"/>
    </row>
    <row r="2" spans="1:6" x14ac:dyDescent="0.15">
      <c r="A2" s="65"/>
      <c r="B2" s="67"/>
      <c r="C2" s="4"/>
      <c r="D2" s="4"/>
      <c r="E2" s="4"/>
      <c r="F2" s="4"/>
    </row>
    <row r="3" spans="1:6" x14ac:dyDescent="0.15">
      <c r="A3" s="65"/>
      <c r="B3" s="67"/>
      <c r="C3" s="4"/>
      <c r="D3" s="4"/>
      <c r="E3" s="4"/>
      <c r="F3" s="4"/>
    </row>
    <row r="4" spans="1:6" x14ac:dyDescent="0.15">
      <c r="A4" s="68"/>
      <c r="B4" s="57"/>
      <c r="C4" s="47"/>
      <c r="D4" s="47"/>
      <c r="E4" s="47"/>
      <c r="F4" s="47"/>
    </row>
    <row r="5" spans="1:6" ht="16" x14ac:dyDescent="0.2">
      <c r="A5" s="77" t="s">
        <v>139</v>
      </c>
      <c r="B5" s="75">
        <v>1985</v>
      </c>
      <c r="C5" s="76">
        <v>1986</v>
      </c>
      <c r="D5" s="76">
        <v>1987</v>
      </c>
      <c r="E5" s="76">
        <v>1988</v>
      </c>
      <c r="F5" s="76">
        <v>1989</v>
      </c>
    </row>
    <row r="6" spans="1:6" x14ac:dyDescent="0.15">
      <c r="A6" s="69"/>
      <c r="B6" s="54"/>
      <c r="C6" s="38"/>
      <c r="D6" s="38"/>
      <c r="E6" s="38"/>
      <c r="F6" s="38" t="s">
        <v>77</v>
      </c>
    </row>
    <row r="7" spans="1:6" x14ac:dyDescent="0.15">
      <c r="A7" s="70"/>
      <c r="B7" s="55"/>
      <c r="C7" s="56"/>
      <c r="D7" s="56"/>
      <c r="E7" s="56"/>
      <c r="F7" s="56"/>
    </row>
    <row r="8" spans="1:6" ht="14" x14ac:dyDescent="0.2">
      <c r="A8" s="74"/>
      <c r="B8" s="54"/>
      <c r="C8" s="38"/>
      <c r="D8" s="38"/>
      <c r="E8" s="38"/>
      <c r="F8" s="38"/>
    </row>
    <row r="9" spans="1:6" ht="14" x14ac:dyDescent="0.2">
      <c r="A9" s="172"/>
      <c r="B9" s="54"/>
      <c r="C9" s="54"/>
      <c r="D9" s="54"/>
      <c r="E9" s="54"/>
      <c r="F9" s="54"/>
    </row>
    <row r="10" spans="1:6" ht="14" x14ac:dyDescent="0.2">
      <c r="A10" s="172" t="s">
        <v>142</v>
      </c>
      <c r="B10" s="203">
        <f>('Historique P&amp;L'!B15-'Historique P&amp;L'!B17)/'Historique P&amp;L'!B10</f>
        <v>0.79032258064516125</v>
      </c>
      <c r="C10" s="203">
        <f>('Historique P&amp;L'!C15-'Historique P&amp;L'!C17)/'Historique P&amp;L'!C10</f>
        <v>0.81285578747628096</v>
      </c>
      <c r="D10" s="203">
        <f>('Historique P&amp;L'!D15-'Historique P&amp;L'!D17)/'Historique P&amp;L'!D10</f>
        <v>0.93344235687586075</v>
      </c>
      <c r="E10" s="203">
        <f>('Historique P&amp;L'!E15-'Historique P&amp;L'!E17)/'Historique P&amp;L'!E10</f>
        <v>0.91012414262230035</v>
      </c>
      <c r="F10" s="203"/>
    </row>
    <row r="11" spans="1:6" ht="14" x14ac:dyDescent="0.2">
      <c r="A11" s="172"/>
      <c r="B11" s="54"/>
      <c r="C11" s="54"/>
      <c r="D11" s="54"/>
      <c r="E11" s="54"/>
      <c r="F11" s="54"/>
    </row>
    <row r="12" spans="1:6" ht="14" x14ac:dyDescent="0.2">
      <c r="A12" s="172" t="s">
        <v>143</v>
      </c>
      <c r="B12" s="42">
        <f>'Historique P&amp;L'!B31/'Historique P&amp;L'!B10</f>
        <v>0.27822580645161288</v>
      </c>
      <c r="C12" s="42">
        <f>'Historique P&amp;L'!C31/'Historique P&amp;L'!C10</f>
        <v>0.30917931688804562</v>
      </c>
      <c r="D12" s="42">
        <f>'Historique P&amp;L'!D31/'Historique P&amp;L'!D10</f>
        <v>0.34146911272870362</v>
      </c>
      <c r="E12" s="42">
        <f>'Historique P&amp;L'!E31/'Historique P&amp;L'!E10</f>
        <v>0.34515239120987101</v>
      </c>
      <c r="F12" s="42">
        <f>'Historique P&amp;L'!F31/'Historique P&amp;L'!F10</f>
        <v>0.33444439603212639</v>
      </c>
    </row>
    <row r="13" spans="1:6" ht="14" x14ac:dyDescent="0.2">
      <c r="A13" s="172"/>
      <c r="B13" s="54"/>
      <c r="C13" s="54"/>
      <c r="D13" s="54"/>
      <c r="E13" s="54"/>
      <c r="F13" s="54"/>
    </row>
    <row r="14" spans="1:6" ht="14" x14ac:dyDescent="0.2">
      <c r="A14" s="172" t="s">
        <v>140</v>
      </c>
      <c r="B14" s="42">
        <f>'Historique P&amp;L'!B31/'Historique P&amp;L'!B15</f>
        <v>0.27822580645161288</v>
      </c>
      <c r="C14" s="42">
        <f>'Historique P&amp;L'!C31/'Historique P&amp;L'!C15</f>
        <v>0.30906935388263196</v>
      </c>
      <c r="D14" s="42">
        <f>'Historique P&amp;L'!D31/'Historique P&amp;L'!D15</f>
        <v>0.28432045047350912</v>
      </c>
      <c r="E14" s="42">
        <f>'Historique P&amp;L'!E31/'Historique P&amp;L'!E15</f>
        <v>0.3015517952950888</v>
      </c>
      <c r="F14" s="42">
        <f>'Historique P&amp;L'!F31/'Historique P&amp;L'!F15</f>
        <v>0.29628605065587582</v>
      </c>
    </row>
    <row r="15" spans="1:6" ht="14" x14ac:dyDescent="0.2">
      <c r="A15" s="172"/>
      <c r="B15" s="54"/>
      <c r="C15" s="54"/>
      <c r="D15" s="54"/>
      <c r="E15" s="54"/>
      <c r="F15" s="54"/>
    </row>
    <row r="16" spans="1:6" ht="14" x14ac:dyDescent="0.2">
      <c r="A16" s="172" t="s">
        <v>224</v>
      </c>
      <c r="B16" s="42">
        <f>'Historique P&amp;L'!B36/'Historique P&amp;L'!B10</f>
        <v>0.125</v>
      </c>
      <c r="C16" s="42">
        <f>'Historique P&amp;L'!C36/'Historique P&amp;L'!C10</f>
        <v>0.1474146110056927</v>
      </c>
      <c r="D16" s="42">
        <f>'Historique P&amp;L'!D36/'Historique P&amp;L'!D10</f>
        <v>0.16421158764509156</v>
      </c>
      <c r="E16" s="42">
        <f>'Historique P&amp;L'!E36/'Historique P&amp;L'!E10</f>
        <v>0.17848572454320435</v>
      </c>
      <c r="F16" s="42">
        <f>'Historique P&amp;L'!F36/'Historique P&amp;L'!F10</f>
        <v>0.18020275078791045</v>
      </c>
    </row>
    <row r="17" spans="1:6" ht="14" x14ac:dyDescent="0.2">
      <c r="A17" s="172"/>
      <c r="B17" s="54"/>
      <c r="C17" s="54"/>
      <c r="D17" s="54"/>
      <c r="E17" s="54"/>
      <c r="F17" s="54"/>
    </row>
    <row r="18" spans="1:6" ht="14" x14ac:dyDescent="0.2">
      <c r="A18" s="172" t="s">
        <v>147</v>
      </c>
      <c r="B18" s="72">
        <f>'Historique Bilan'!B77/'Historique Bilan'!B75</f>
        <v>-0.28985507246376813</v>
      </c>
      <c r="C18" s="72">
        <f>'Historique Bilan'!C77/'Historique Bilan'!C75</f>
        <v>-0.45121951219512196</v>
      </c>
      <c r="D18" s="72">
        <f>'Historique Bilan'!D77/'Historique Bilan'!D75</f>
        <v>-0.41818181818181815</v>
      </c>
      <c r="E18" s="72">
        <f>'Historique Bilan'!E77/'Historique Bilan'!E75</f>
        <v>-0.50359712230215825</v>
      </c>
      <c r="F18" s="72">
        <f>'Historique Bilan'!F77/'Historique Bilan'!F75</f>
        <v>-0.56725146198830412</v>
      </c>
    </row>
    <row r="19" spans="1:6" ht="14" x14ac:dyDescent="0.2">
      <c r="A19" s="172"/>
      <c r="B19" s="72"/>
      <c r="C19" s="72"/>
      <c r="D19" s="72"/>
      <c r="E19" s="72"/>
      <c r="F19" s="72"/>
    </row>
    <row r="20" spans="1:6" ht="14" x14ac:dyDescent="0.2">
      <c r="A20" s="172" t="s">
        <v>148</v>
      </c>
      <c r="B20" s="72">
        <f>'Historique Bilan'!B77/'Historique P&amp;L'!B31</f>
        <v>-0.28985507246376813</v>
      </c>
      <c r="C20" s="72">
        <f>'Historique Bilan'!C77/'Historique P&amp;L'!C31</f>
        <v>-0.43996931338703477</v>
      </c>
      <c r="D20" s="72">
        <f>'Historique Bilan'!D77/'Historique P&amp;L'!D31</f>
        <v>-0.45054193223146438</v>
      </c>
      <c r="E20" s="72">
        <f>'Historique Bilan'!E77/'Historique P&amp;L'!E31</f>
        <v>-0.57290668710480919</v>
      </c>
      <c r="F20" s="72">
        <f>'Historique Bilan'!F77/'Historique P&amp;L'!F31</f>
        <v>-0.74558679839322561</v>
      </c>
    </row>
    <row r="21" spans="1:6" ht="14" x14ac:dyDescent="0.2">
      <c r="A21" s="172"/>
      <c r="B21" s="72"/>
      <c r="C21" s="72"/>
      <c r="D21" s="72"/>
      <c r="E21" s="72"/>
      <c r="F21" s="72"/>
    </row>
    <row r="22" spans="1:6" ht="14" x14ac:dyDescent="0.2">
      <c r="A22" s="172" t="s">
        <v>176</v>
      </c>
      <c r="B22" s="218">
        <f>'Historique Bilan'!B18/'Historique P&amp;L'!B10</f>
        <v>4.4354838709677422E-2</v>
      </c>
      <c r="C22" s="218">
        <f>'Historique Bilan'!C18/'Historique P&amp;L'!C10</f>
        <v>4.779411764705882E-2</v>
      </c>
      <c r="D22" s="218">
        <f>'Historique Bilan'!D18/'Historique P&amp;L'!D10</f>
        <v>0.14381270903010032</v>
      </c>
      <c r="E22" s="218">
        <f>'Historique Bilan'!E18/'Historique P&amp;L'!E10</f>
        <v>0.12429378531073447</v>
      </c>
      <c r="F22" s="218">
        <f>'Historique Bilan'!F18/'Historique P&amp;L'!F10</f>
        <v>0.10796915167095116</v>
      </c>
    </row>
    <row r="23" spans="1:6" ht="14" x14ac:dyDescent="0.2">
      <c r="A23" s="172"/>
      <c r="B23" s="72"/>
      <c r="C23" s="72"/>
      <c r="D23" s="72"/>
      <c r="E23" s="72"/>
      <c r="F23" s="72"/>
    </row>
    <row r="24" spans="1:6" ht="14" x14ac:dyDescent="0.2">
      <c r="A24" s="172" t="s">
        <v>177</v>
      </c>
      <c r="B24" s="73">
        <f>'Historique Bilan'!B68/'Historique P&amp;L'!B10</f>
        <v>-0.15322580645161291</v>
      </c>
      <c r="C24" s="73">
        <f>'Historique Bilan'!C68/'Historique P&amp;L'!C10</f>
        <v>-0.23161764705882354</v>
      </c>
      <c r="D24" s="73">
        <f>'Historique Bilan'!D68/'Historique P&amp;L'!D10</f>
        <v>-0.16387959866220736</v>
      </c>
      <c r="E24" s="73">
        <f>'Historique Bilan'!E68/'Historique P&amp;L'!E10</f>
        <v>-0.14971751412429379</v>
      </c>
      <c r="F24" s="73">
        <f>'Historique Bilan'!F68/'Historique P&amp;L'!F10</f>
        <v>-0.16195372750642673</v>
      </c>
    </row>
    <row r="25" spans="1:6" ht="14" x14ac:dyDescent="0.2">
      <c r="A25" s="172"/>
      <c r="B25" s="54"/>
      <c r="C25" s="54"/>
      <c r="D25" s="54"/>
      <c r="E25" s="54"/>
      <c r="F25" s="54"/>
    </row>
    <row r="26" spans="1:6" ht="14" x14ac:dyDescent="0.2">
      <c r="A26" s="172" t="s">
        <v>225</v>
      </c>
      <c r="B26" s="54">
        <f>'Historique Bilan'!B18*365/'Historique P&amp;L'!B10</f>
        <v>16.18951612903226</v>
      </c>
      <c r="C26" s="54">
        <f>'Historique Bilan'!C18*365/'Historique P&amp;L'!C10</f>
        <v>17.444852941176471</v>
      </c>
      <c r="D26" s="54">
        <f>'Historique Bilan'!D18*365/'Historique P&amp;L'!D10</f>
        <v>52.491638795986624</v>
      </c>
      <c r="E26" s="54">
        <f>'Historique Bilan'!E18*365/'Historique P&amp;L'!E10</f>
        <v>45.367231638418076</v>
      </c>
      <c r="F26" s="54">
        <f>'Historique Bilan'!F18*365/'Historique P&amp;L'!F10</f>
        <v>39.408740359897173</v>
      </c>
    </row>
    <row r="27" spans="1:6" ht="14" x14ac:dyDescent="0.2">
      <c r="A27" s="172"/>
      <c r="B27" s="54"/>
      <c r="C27" s="54"/>
      <c r="D27" s="54"/>
      <c r="E27" s="54"/>
      <c r="F27" s="54"/>
    </row>
    <row r="28" spans="1:6" ht="14" x14ac:dyDescent="0.2">
      <c r="A28" s="172" t="s">
        <v>178</v>
      </c>
      <c r="B28" s="54">
        <f>'Historique Bilan'!B20*365/'Historique P&amp;L'!B10</f>
        <v>83.891129032258064</v>
      </c>
      <c r="C28" s="54">
        <f>'Historique Bilan'!C20*365/'Historique P&amp;L'!C10</f>
        <v>69.779411764705884</v>
      </c>
      <c r="D28" s="54">
        <f>'Historique Bilan'!D20*365/'Historique P&amp;L'!D10</f>
        <v>75.685618729096987</v>
      </c>
      <c r="E28" s="54">
        <f>'Historique Bilan'!E20*365/'Historique P&amp;L'!E10</f>
        <v>69.081920903954796</v>
      </c>
      <c r="F28" s="54">
        <f>'Historique Bilan'!F20*365/'Historique P&amp;L'!F10</f>
        <v>68.496143958868899</v>
      </c>
    </row>
    <row r="29" spans="1:6" ht="14" x14ac:dyDescent="0.2">
      <c r="A29" s="172"/>
      <c r="B29" s="72"/>
      <c r="C29" s="72"/>
      <c r="D29" s="72"/>
      <c r="E29" s="72"/>
      <c r="F29" s="72"/>
    </row>
    <row r="30" spans="1:6" ht="14" x14ac:dyDescent="0.2">
      <c r="A30" s="172" t="s">
        <v>226</v>
      </c>
      <c r="B30" s="284">
        <f>'Historique Bilan'!B46*365/'Historique P&amp;L'!B10</f>
        <v>16.18951612903226</v>
      </c>
      <c r="C30" s="284">
        <f>'Historique Bilan'!C46*365/'Historique P&amp;L'!C10</f>
        <v>26.838235294117649</v>
      </c>
      <c r="D30" s="284">
        <f>'Historique Bilan'!D46*365/'Historique P&amp;L'!D10</f>
        <v>35.401337792642138</v>
      </c>
      <c r="E30" s="284">
        <f>'Historique Bilan'!E46*365/'Historique P&amp;L'!E10</f>
        <v>32.994350282485875</v>
      </c>
      <c r="F30" s="284">
        <f>'Historique Bilan'!F46*365/'Historique P&amp;L'!F10</f>
        <v>32.840616966580974</v>
      </c>
    </row>
    <row r="31" spans="1:6" ht="14" x14ac:dyDescent="0.2">
      <c r="A31" s="172"/>
      <c r="B31" s="72"/>
      <c r="C31" s="72"/>
      <c r="D31" s="72"/>
      <c r="E31" s="72"/>
      <c r="F31" s="72"/>
    </row>
    <row r="32" spans="1:6" ht="14" x14ac:dyDescent="0.2">
      <c r="A32" s="172" t="s">
        <v>227</v>
      </c>
      <c r="B32" s="284">
        <f>'Historique Bilan'!B48*365/'Historique P&amp;L'!B10</f>
        <v>110.38306451612904</v>
      </c>
      <c r="C32" s="284">
        <f>'Historique Bilan'!C48*365/'Historique P&amp;L'!C10</f>
        <v>104.66911764705883</v>
      </c>
      <c r="D32" s="284">
        <f>'Historique Bilan'!D48*365/'Historique P&amp;L'!D10</f>
        <v>107.4247491638796</v>
      </c>
      <c r="E32" s="284">
        <f>'Historique Bilan'!E48*365/'Historique P&amp;L'!E10</f>
        <v>94.858757062146893</v>
      </c>
      <c r="F32" s="284">
        <f>'Historique Bilan'!F48*365/'Historique P&amp;L'!F10</f>
        <v>93.830334190231369</v>
      </c>
    </row>
    <row r="33" spans="1:6" ht="14" x14ac:dyDescent="0.2">
      <c r="A33" s="172"/>
      <c r="B33" s="72"/>
      <c r="C33" s="72"/>
      <c r="D33" s="72"/>
      <c r="E33" s="72"/>
      <c r="F33" s="72"/>
    </row>
    <row r="34" spans="1:6" ht="14" x14ac:dyDescent="0.2">
      <c r="A34" s="172" t="s">
        <v>228</v>
      </c>
      <c r="B34" s="284">
        <f>B26+B28-(B30+B32)</f>
        <v>-26.491935483870975</v>
      </c>
      <c r="C34" s="284">
        <f t="shared" ref="C34:F34" si="0">C26+C28-(C30+C32)</f>
        <v>-44.283088235294116</v>
      </c>
      <c r="D34" s="284">
        <f t="shared" si="0"/>
        <v>-14.648829431438145</v>
      </c>
      <c r="E34" s="284">
        <f t="shared" si="0"/>
        <v>-13.403954802259904</v>
      </c>
      <c r="F34" s="284">
        <f t="shared" si="0"/>
        <v>-18.766066838046271</v>
      </c>
    </row>
    <row r="35" spans="1:6" ht="14" x14ac:dyDescent="0.2">
      <c r="A35" s="172"/>
      <c r="B35" s="283"/>
      <c r="C35" s="72"/>
      <c r="D35" s="72"/>
      <c r="E35" s="72"/>
      <c r="F35" s="72"/>
    </row>
    <row r="36" spans="1:6" ht="14" x14ac:dyDescent="0.2">
      <c r="A36" s="172" t="s">
        <v>222</v>
      </c>
      <c r="C36" s="203">
        <f>-'Historique P&amp;L'!C72/'Historique P&amp;L'!C10</f>
        <v>0.2610294117647059</v>
      </c>
      <c r="D36" s="203">
        <f>-'Historique P&amp;L'!D72/'Historique P&amp;L'!D10</f>
        <v>0.22073578595317725</v>
      </c>
      <c r="E36" s="203">
        <f>-'Historique P&amp;L'!E72/'Historique P&amp;L'!E10</f>
        <v>0.20903954802259886</v>
      </c>
      <c r="F36" s="203">
        <f>-'Historique P&amp;L'!F72/'Historique P&amp;L'!F10</f>
        <v>0.19280205655526991</v>
      </c>
    </row>
    <row r="37" spans="1:6" ht="14" x14ac:dyDescent="0.2">
      <c r="A37" s="172"/>
      <c r="B37" s="72"/>
      <c r="C37" s="72"/>
      <c r="D37" s="72"/>
      <c r="E37" s="72"/>
      <c r="F37" s="72"/>
    </row>
    <row r="38" spans="1:6" ht="14" x14ac:dyDescent="0.2">
      <c r="A38" s="172" t="s">
        <v>223</v>
      </c>
      <c r="B38" s="72"/>
      <c r="C38" s="72">
        <f>-'Historique P&amp;L'!C72/'Historique P&amp;L'!C62</f>
        <v>1.6136363636363635</v>
      </c>
      <c r="D38" s="72">
        <f>-'Historique P&amp;L'!D72/'Historique P&amp;L'!D62</f>
        <v>1.2452830188679245</v>
      </c>
      <c r="E38" s="72">
        <f>-'Historique P&amp;L'!E72/'Historique P&amp;L'!E62</f>
        <v>1.2542372881355932</v>
      </c>
      <c r="F38" s="72">
        <f>-'Historique P&amp;L'!F72/'Historique P&amp;L'!F62</f>
        <v>1.25</v>
      </c>
    </row>
    <row r="39" spans="1:6" ht="14" x14ac:dyDescent="0.2">
      <c r="A39" s="172"/>
      <c r="B39" s="72"/>
      <c r="C39" s="72"/>
      <c r="D39" s="72"/>
      <c r="E39" s="72"/>
      <c r="F39" s="72"/>
    </row>
    <row r="40" spans="1:6" ht="14" x14ac:dyDescent="0.2">
      <c r="A40" s="172" t="s">
        <v>149</v>
      </c>
      <c r="B40" s="72">
        <f>'Historique P&amp;L'!B10/'Historique Bilan'!B72</f>
        <v>5.0612244897959187</v>
      </c>
      <c r="C40" s="72">
        <f>'Historique P&amp;L'!C10/'Historique Bilan'!C72</f>
        <v>6.0444444444444443</v>
      </c>
      <c r="D40" s="72">
        <f>'Historique P&amp;L'!D10/'Historique Bilan'!D72</f>
        <v>4.671875</v>
      </c>
      <c r="E40" s="72">
        <f>'Historique P&amp;L'!E10/'Historique Bilan'!E72</f>
        <v>5.1304347826086953</v>
      </c>
      <c r="F40" s="72">
        <f>'Historique P&amp;L'!F10/'Historique Bilan'!F72</f>
        <v>5.256756756756757</v>
      </c>
    </row>
    <row r="41" spans="1:6" ht="14" x14ac:dyDescent="0.2">
      <c r="A41" s="172"/>
      <c r="B41" s="72"/>
      <c r="C41" s="72"/>
      <c r="D41" s="72"/>
      <c r="E41" s="72"/>
      <c r="F41" s="72"/>
    </row>
    <row r="42" spans="1:6" ht="14" x14ac:dyDescent="0.2">
      <c r="A42" s="172" t="s">
        <v>150</v>
      </c>
      <c r="B42" s="203">
        <f>B16*B40</f>
        <v>0.63265306122448983</v>
      </c>
      <c r="C42" s="203">
        <f t="shared" ref="C42:F42" si="1">C16*C40</f>
        <v>0.89103942652329804</v>
      </c>
      <c r="D42" s="203">
        <f t="shared" si="1"/>
        <v>0.76717601102941213</v>
      </c>
      <c r="E42" s="203">
        <f t="shared" si="1"/>
        <v>0.91570936939557013</v>
      </c>
      <c r="F42" s="203">
        <f t="shared" si="1"/>
        <v>0.9472820277905023</v>
      </c>
    </row>
    <row r="43" spans="1:6" ht="14" x14ac:dyDescent="0.2">
      <c r="A43" s="172"/>
      <c r="B43" s="203"/>
      <c r="C43" s="203"/>
      <c r="D43" s="203"/>
      <c r="E43" s="203"/>
      <c r="F43" s="203"/>
    </row>
    <row r="44" spans="1:6" ht="14" x14ac:dyDescent="0.2">
      <c r="A44" s="172" t="s">
        <v>151</v>
      </c>
      <c r="B44" s="203">
        <f>-'Historique P&amp;L'!B45/'Historique P&amp;L'!B43</f>
        <v>0.51724137931034486</v>
      </c>
      <c r="C44" s="203">
        <f>-'Historique P&amp;L'!C45/'Historique P&amp;L'!C43</f>
        <v>0.49872988992379308</v>
      </c>
      <c r="D44" s="203">
        <f>-'Historique P&amp;L'!D45/'Historique P&amp;L'!D43</f>
        <v>0.43053457083243379</v>
      </c>
      <c r="E44" s="203">
        <f>-'Historique P&amp;L'!E45/'Historique P&amp;L'!E43</f>
        <v>0.41811434410799747</v>
      </c>
      <c r="F44" s="203">
        <f>-'Historique P&amp;L'!F45/'Historique P&amp;L'!F43</f>
        <v>0.42408316265409446</v>
      </c>
    </row>
    <row r="45" spans="1:6" ht="14" x14ac:dyDescent="0.2">
      <c r="A45" s="172"/>
      <c r="B45" s="203"/>
      <c r="C45" s="203"/>
      <c r="D45" s="203"/>
      <c r="E45" s="203"/>
      <c r="F45" s="203"/>
    </row>
    <row r="46" spans="1:6" ht="14" x14ac:dyDescent="0.2">
      <c r="A46" s="172" t="s">
        <v>152</v>
      </c>
      <c r="B46" s="203">
        <f>B42*(1-B44)</f>
        <v>0.30541871921182268</v>
      </c>
      <c r="C46" s="203">
        <f t="shared" ref="C46:F46" si="2">C42*(1-C44)</f>
        <v>0.4466514314155739</v>
      </c>
      <c r="D46" s="203">
        <f t="shared" si="2"/>
        <v>0.43688021636792573</v>
      </c>
      <c r="E46" s="203">
        <f t="shared" si="2"/>
        <v>0.53283814701719334</v>
      </c>
      <c r="F46" s="203">
        <f t="shared" si="2"/>
        <v>0.54555566951972234</v>
      </c>
    </row>
    <row r="47" spans="1:6" ht="14" x14ac:dyDescent="0.2">
      <c r="A47" s="172"/>
      <c r="B47" s="203"/>
      <c r="C47" s="203"/>
      <c r="D47" s="203"/>
      <c r="E47" s="203"/>
      <c r="F47" s="203"/>
    </row>
    <row r="48" spans="1:6" ht="14" x14ac:dyDescent="0.2">
      <c r="A48" s="172" t="s">
        <v>153</v>
      </c>
      <c r="B48" s="203"/>
      <c r="C48" s="203"/>
      <c r="D48" s="203"/>
      <c r="E48" s="203"/>
      <c r="F48" s="218">
        <f>Evaluation!C37</f>
        <v>0.13964565217391306</v>
      </c>
    </row>
    <row r="49" spans="1:6" ht="14" x14ac:dyDescent="0.2">
      <c r="A49" s="172"/>
      <c r="B49" s="72"/>
      <c r="C49" s="72"/>
      <c r="D49" s="72"/>
      <c r="E49" s="72"/>
      <c r="F49" s="72"/>
    </row>
    <row r="50" spans="1:6" ht="14" x14ac:dyDescent="0.2">
      <c r="A50" s="172" t="s">
        <v>154</v>
      </c>
      <c r="B50" s="54"/>
      <c r="C50" s="38"/>
      <c r="D50" s="38"/>
      <c r="E50" s="38"/>
      <c r="F50" s="204">
        <f>F46-F48</f>
        <v>0.40591001734580928</v>
      </c>
    </row>
    <row r="51" spans="1:6" ht="14" x14ac:dyDescent="0.2">
      <c r="A51" s="172"/>
      <c r="B51" s="54"/>
      <c r="C51" s="38"/>
      <c r="D51" s="38"/>
      <c r="E51" s="38"/>
      <c r="F51" s="38"/>
    </row>
    <row r="52" spans="1:6" ht="14" x14ac:dyDescent="0.2">
      <c r="A52" s="172" t="s">
        <v>155</v>
      </c>
      <c r="B52" s="54"/>
      <c r="C52" s="38"/>
      <c r="D52" s="38"/>
      <c r="E52" s="38"/>
      <c r="F52" s="63">
        <f>F50*'Historique Bilan'!F72</f>
        <v>30.037341283589885</v>
      </c>
    </row>
    <row r="53" spans="1:6" ht="14" x14ac:dyDescent="0.2">
      <c r="A53" s="172"/>
      <c r="B53" s="54"/>
      <c r="C53" s="38"/>
      <c r="D53" s="38"/>
      <c r="E53" s="38"/>
      <c r="F53" s="38"/>
    </row>
    <row r="54" spans="1:6" ht="14" x14ac:dyDescent="0.2">
      <c r="A54" s="172" t="s">
        <v>192</v>
      </c>
      <c r="B54" s="54"/>
      <c r="C54" s="38"/>
      <c r="D54" s="38"/>
      <c r="E54" s="38"/>
      <c r="F54" s="38">
        <f>Structuration!B5</f>
        <v>770</v>
      </c>
    </row>
    <row r="55" spans="1:6" ht="14" x14ac:dyDescent="0.2">
      <c r="A55" s="172"/>
      <c r="B55" s="54"/>
      <c r="C55" s="38"/>
      <c r="D55" s="38"/>
      <c r="E55" s="38"/>
      <c r="F55" s="38"/>
    </row>
    <row r="56" spans="1:6" ht="14" x14ac:dyDescent="0.2">
      <c r="A56" s="172" t="s">
        <v>193</v>
      </c>
      <c r="B56" s="54"/>
      <c r="C56" s="38"/>
      <c r="D56" s="38"/>
      <c r="E56" s="38"/>
      <c r="F56" s="38">
        <f>F54+'Historique Bilan'!F77</f>
        <v>673</v>
      </c>
    </row>
    <row r="57" spans="1:6" ht="14" x14ac:dyDescent="0.2">
      <c r="A57" s="172"/>
      <c r="B57" s="54"/>
      <c r="C57" s="38"/>
      <c r="D57" s="38"/>
      <c r="E57" s="38"/>
      <c r="F57" s="38"/>
    </row>
    <row r="58" spans="1:6" ht="14" x14ac:dyDescent="0.2">
      <c r="A58" s="172" t="s">
        <v>194</v>
      </c>
      <c r="B58" s="54"/>
      <c r="C58" s="38"/>
      <c r="D58" s="38"/>
      <c r="E58" s="38"/>
      <c r="F58" s="205">
        <f>F56/'Historique Bilan'!F72</f>
        <v>9.0945945945945947</v>
      </c>
    </row>
    <row r="59" spans="1:6" ht="14" x14ac:dyDescent="0.2">
      <c r="A59" s="172"/>
      <c r="B59" s="54"/>
      <c r="C59" s="38"/>
      <c r="D59" s="38"/>
      <c r="E59" s="38"/>
      <c r="F59" s="205"/>
    </row>
    <row r="60" spans="1:6" ht="14" x14ac:dyDescent="0.2">
      <c r="A60" s="172" t="s">
        <v>195</v>
      </c>
      <c r="B60" s="54"/>
      <c r="C60" s="38"/>
      <c r="D60" s="38"/>
      <c r="E60" s="38"/>
      <c r="F60" s="205">
        <f>F46/F48</f>
        <v>3.9067143231949228</v>
      </c>
    </row>
    <row r="61" spans="1:6" ht="14" x14ac:dyDescent="0.2">
      <c r="A61" s="172"/>
      <c r="B61" s="54"/>
      <c r="C61" s="38"/>
      <c r="D61" s="38"/>
      <c r="E61" s="38"/>
      <c r="F61" s="205"/>
    </row>
    <row r="62" spans="1:6" ht="14" x14ac:dyDescent="0.2">
      <c r="A62" s="172" t="s">
        <v>196</v>
      </c>
      <c r="B62" s="54"/>
      <c r="C62" s="38"/>
      <c r="D62" s="38"/>
      <c r="E62" s="38"/>
      <c r="F62" s="218">
        <f>F48-F52/(F56-'Historique Bilan'!F72)</f>
        <v>8.9499840348220422E-2</v>
      </c>
    </row>
    <row r="63" spans="1:6" ht="14" x14ac:dyDescent="0.2">
      <c r="A63" s="172"/>
      <c r="B63" s="54"/>
      <c r="C63" s="38"/>
      <c r="D63" s="38"/>
      <c r="E63" s="38"/>
      <c r="F63" s="205"/>
    </row>
    <row r="64" spans="1:6" ht="14" x14ac:dyDescent="0.2">
      <c r="A64" s="172" t="s">
        <v>197</v>
      </c>
      <c r="B64" s="54"/>
      <c r="C64" s="38"/>
      <c r="D64" s="38"/>
      <c r="E64" s="38"/>
      <c r="F64" s="203">
        <f>GEOMEAN('Prévision P&amp;L &amp; CF'!C10:L10)</f>
        <v>8.0115876994125534E-2</v>
      </c>
    </row>
    <row r="65" spans="1:6" ht="14" x14ac:dyDescent="0.2">
      <c r="A65" s="172"/>
      <c r="B65" s="54"/>
      <c r="C65" s="38"/>
      <c r="D65" s="38"/>
      <c r="E65" s="38"/>
      <c r="F65" s="203"/>
    </row>
    <row r="66" spans="1:6" ht="14" x14ac:dyDescent="0.2">
      <c r="A66" s="343"/>
      <c r="B66" s="57"/>
      <c r="C66" s="47"/>
      <c r="D66" s="47"/>
      <c r="E66" s="47"/>
      <c r="F66" s="47"/>
    </row>
    <row r="67" spans="1:6" ht="14" x14ac:dyDescent="0.2">
      <c r="A67" s="202" t="s">
        <v>237</v>
      </c>
      <c r="B67" s="54"/>
      <c r="C67" s="38"/>
      <c r="D67" s="38"/>
      <c r="E67" s="38"/>
      <c r="F67" s="38"/>
    </row>
    <row r="68" spans="1:6" ht="14" x14ac:dyDescent="0.2">
      <c r="A68" s="172"/>
      <c r="B68" s="54"/>
      <c r="C68" s="38"/>
      <c r="D68" s="38"/>
      <c r="E68" s="38"/>
      <c r="F68" s="38"/>
    </row>
    <row r="69" spans="1:6" ht="14" x14ac:dyDescent="0.2">
      <c r="A69" s="172" t="s">
        <v>146</v>
      </c>
      <c r="B69" s="42">
        <f>B71*B73*B75</f>
        <v>0.20289855072463769</v>
      </c>
      <c r="C69" s="42">
        <f>C71*C73*C75</f>
        <v>0.23288749016522456</v>
      </c>
      <c r="D69" s="42">
        <f>D71*D73*D75</f>
        <v>0.26453877005347615</v>
      </c>
      <c r="E69" s="42">
        <f>E71*E73*E75</f>
        <v>0.26031616178629025</v>
      </c>
      <c r="F69" s="42">
        <f>F71*F73*F75</f>
        <v>0.24619222255261497</v>
      </c>
    </row>
    <row r="70" spans="1:6" ht="14" x14ac:dyDescent="0.2">
      <c r="A70" s="172"/>
      <c r="B70" s="42"/>
      <c r="C70" s="42"/>
      <c r="D70" s="42"/>
      <c r="E70" s="42"/>
      <c r="F70" s="42"/>
    </row>
    <row r="71" spans="1:6" ht="14" x14ac:dyDescent="0.2">
      <c r="A71" s="172" t="s">
        <v>144</v>
      </c>
      <c r="B71" s="42">
        <f>'Historique P&amp;L'!B48/'Historique P&amp;L'!B10</f>
        <v>5.6451612903225805E-2</v>
      </c>
      <c r="C71" s="42">
        <f>'Historique P&amp;L'!C48/'Historique P&amp;L'!C10</f>
        <v>7.0208728652751518E-2</v>
      </c>
      <c r="D71" s="42">
        <f>'Historique P&amp;L'!D48/'Historique P&amp;L'!D10</f>
        <v>9.7321955538068147E-2</v>
      </c>
      <c r="E71" s="42">
        <f>'Historique P&amp;L'!E48/'Historique P&amp;L'!E10</f>
        <v>0.10221453810252638</v>
      </c>
      <c r="F71" s="42">
        <f>'Historique P&amp;L'!F48/'Historique P&amp;L'!F10</f>
        <v>0.10822331634060967</v>
      </c>
    </row>
    <row r="72" spans="1:6" ht="14" x14ac:dyDescent="0.2">
      <c r="A72" s="172"/>
      <c r="B72" s="54"/>
      <c r="C72" s="54"/>
      <c r="D72" s="54"/>
      <c r="E72" s="54"/>
      <c r="F72" s="54"/>
    </row>
    <row r="73" spans="1:6" ht="14" x14ac:dyDescent="0.2">
      <c r="A73" s="172" t="s">
        <v>145</v>
      </c>
      <c r="B73" s="71">
        <f>'Historique P&amp;L'!B10/'Historique Bilan'!B72</f>
        <v>5.0612244897959187</v>
      </c>
      <c r="C73" s="71">
        <f>'Historique P&amp;L'!C10/'Historique Bilan'!C72</f>
        <v>6.0444444444444443</v>
      </c>
      <c r="D73" s="71">
        <f>'Historique P&amp;L'!D10/'Historique Bilan'!D72</f>
        <v>4.671875</v>
      </c>
      <c r="E73" s="71">
        <f>'Historique P&amp;L'!E10/'Historique Bilan'!E72</f>
        <v>5.1304347826086953</v>
      </c>
      <c r="F73" s="71">
        <f>'Historique P&amp;L'!F10/'Historique Bilan'!F72</f>
        <v>5.256756756756757</v>
      </c>
    </row>
    <row r="74" spans="1:6" ht="14" x14ac:dyDescent="0.2">
      <c r="A74" s="172"/>
      <c r="B74" s="71"/>
      <c r="C74" s="71"/>
      <c r="D74" s="71"/>
      <c r="E74" s="71"/>
      <c r="F74" s="71"/>
    </row>
    <row r="75" spans="1:6" ht="14" x14ac:dyDescent="0.2">
      <c r="A75" s="172" t="s">
        <v>141</v>
      </c>
      <c r="B75" s="71">
        <f>1+B18</f>
        <v>0.71014492753623193</v>
      </c>
      <c r="C75" s="71">
        <f>1+C18</f>
        <v>0.54878048780487809</v>
      </c>
      <c r="D75" s="71">
        <f>1+D18</f>
        <v>0.58181818181818179</v>
      </c>
      <c r="E75" s="71">
        <f>1+E18</f>
        <v>0.49640287769784175</v>
      </c>
      <c r="F75" s="71">
        <f>1+F18</f>
        <v>0.43274853801169588</v>
      </c>
    </row>
    <row r="76" spans="1:6" x14ac:dyDescent="0.15">
      <c r="A76" s="171"/>
      <c r="B76" s="55"/>
      <c r="C76" s="56"/>
      <c r="D76" s="56"/>
      <c r="E76" s="56"/>
      <c r="F76" s="5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orientation="landscape"/>
  <headerFooter alignWithMargins="0"/>
  <ignoredErrors>
    <ignoredError sqref="F6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6"/>
  <sheetViews>
    <sheetView showGridLines="0" zoomScale="90" zoomScaleNormal="90" workbookViewId="0"/>
  </sheetViews>
  <sheetFormatPr baseColWidth="10" defaultRowHeight="13" x14ac:dyDescent="0.15"/>
  <cols>
    <col min="1" max="1" width="40.1640625" customWidth="1"/>
    <col min="3" max="3" width="12" bestFit="1" customWidth="1"/>
    <col min="5" max="5" width="12.6640625" customWidth="1"/>
    <col min="7" max="7" width="12" bestFit="1" customWidth="1"/>
    <col min="9" max="9" width="12" bestFit="1" customWidth="1"/>
    <col min="11" max="11" width="12" bestFit="1" customWidth="1"/>
    <col min="13" max="13" width="12" bestFit="1" customWidth="1"/>
  </cols>
  <sheetData>
    <row r="1" spans="1:13" ht="30" x14ac:dyDescent="0.3">
      <c r="A1" s="59" t="s">
        <v>75</v>
      </c>
      <c r="B1" s="2"/>
      <c r="C1" s="3"/>
      <c r="D1" s="4"/>
      <c r="E1" s="58" t="s">
        <v>81</v>
      </c>
      <c r="F1" s="4"/>
      <c r="G1" s="4"/>
      <c r="H1" s="4"/>
      <c r="I1" s="4"/>
      <c r="J1" s="4"/>
      <c r="K1" s="4"/>
      <c r="L1" s="4"/>
    </row>
    <row r="2" spans="1:13" ht="30" x14ac:dyDescent="0.3">
      <c r="A2" s="141"/>
      <c r="B2" s="6"/>
      <c r="D2" s="4"/>
      <c r="E2" s="58"/>
      <c r="F2" s="4"/>
      <c r="G2" s="4"/>
      <c r="H2" s="4"/>
      <c r="I2" s="4"/>
      <c r="J2" s="4"/>
      <c r="K2" s="4"/>
      <c r="L2" s="4"/>
    </row>
    <row r="3" spans="1:13" ht="30" x14ac:dyDescent="0.3">
      <c r="A3" s="141"/>
      <c r="B3" s="6"/>
      <c r="D3" s="4"/>
      <c r="E3" s="58"/>
      <c r="F3" s="4"/>
      <c r="G3" s="4"/>
      <c r="H3" s="4"/>
      <c r="I3" s="4"/>
      <c r="J3" s="4"/>
      <c r="K3" s="4"/>
      <c r="L3" s="4"/>
    </row>
    <row r="4" spans="1:13" ht="30" x14ac:dyDescent="0.3">
      <c r="A4" s="141"/>
      <c r="B4" s="6"/>
      <c r="D4" s="4"/>
      <c r="E4" s="58"/>
      <c r="F4" s="4"/>
      <c r="G4" s="4"/>
      <c r="H4" s="4"/>
      <c r="I4" s="4"/>
      <c r="J4" s="4"/>
      <c r="K4" s="4"/>
      <c r="L4" s="4"/>
    </row>
    <row r="5" spans="1:13" ht="19" x14ac:dyDescent="0.25">
      <c r="A5" s="5"/>
      <c r="B5" s="6"/>
      <c r="D5" s="4"/>
      <c r="E5" s="4"/>
      <c r="F5" s="4"/>
      <c r="G5" s="4"/>
      <c r="H5" s="4"/>
      <c r="I5" s="4"/>
      <c r="J5" s="4"/>
      <c r="K5" s="4"/>
      <c r="L5" s="4"/>
    </row>
    <row r="6" spans="1:13" ht="19" x14ac:dyDescent="0.25">
      <c r="A6" s="7"/>
      <c r="B6" s="8"/>
      <c r="C6" s="9"/>
      <c r="D6" s="8"/>
      <c r="E6" s="10"/>
      <c r="F6" s="8"/>
      <c r="G6" s="10"/>
      <c r="H6" s="8"/>
      <c r="I6" s="10"/>
      <c r="J6" s="8"/>
      <c r="K6" s="10"/>
      <c r="L6" s="8"/>
      <c r="M6" s="11"/>
    </row>
    <row r="7" spans="1:13" s="230" customFormat="1" ht="19" x14ac:dyDescent="0.25">
      <c r="A7" s="12"/>
      <c r="B7" s="243">
        <v>1989</v>
      </c>
      <c r="C7" s="5"/>
      <c r="D7" s="243">
        <v>1990</v>
      </c>
      <c r="E7" s="244"/>
      <c r="F7" s="243">
        <v>1991</v>
      </c>
      <c r="G7" s="244"/>
      <c r="H7" s="243">
        <v>1992</v>
      </c>
      <c r="I7" s="244"/>
      <c r="J7" s="243">
        <v>1993</v>
      </c>
      <c r="K7" s="244"/>
      <c r="L7" s="243">
        <v>1994</v>
      </c>
      <c r="M7" s="245"/>
    </row>
    <row r="8" spans="1:13" ht="17" x14ac:dyDescent="0.25">
      <c r="A8" s="16"/>
      <c r="B8" s="17"/>
      <c r="C8" s="206" t="s">
        <v>156</v>
      </c>
      <c r="D8" s="17"/>
      <c r="E8" s="206" t="s">
        <v>156</v>
      </c>
      <c r="F8" s="17"/>
      <c r="G8" s="206" t="s">
        <v>156</v>
      </c>
      <c r="H8" s="17"/>
      <c r="I8" s="206" t="s">
        <v>156</v>
      </c>
      <c r="J8" s="17"/>
      <c r="K8" s="206" t="s">
        <v>156</v>
      </c>
      <c r="L8" s="17"/>
      <c r="M8" s="212" t="s">
        <v>156</v>
      </c>
    </row>
    <row r="9" spans="1:13" ht="19" x14ac:dyDescent="0.25">
      <c r="A9" s="18"/>
      <c r="B9" s="19"/>
      <c r="C9" s="20"/>
      <c r="D9" s="19"/>
      <c r="E9" s="21"/>
      <c r="F9" s="19"/>
      <c r="G9" s="21"/>
      <c r="H9" s="19"/>
      <c r="I9" s="21"/>
      <c r="J9" s="19"/>
      <c r="K9" s="21"/>
      <c r="L9" s="19"/>
      <c r="M9" s="22"/>
    </row>
    <row r="10" spans="1:13" ht="19" x14ac:dyDescent="0.25">
      <c r="A10" s="12"/>
      <c r="B10" s="8"/>
      <c r="C10" s="80"/>
      <c r="D10" s="8"/>
      <c r="E10" s="80"/>
      <c r="F10" s="8"/>
      <c r="G10" s="80"/>
      <c r="H10" s="8"/>
      <c r="I10" s="80"/>
      <c r="J10" s="8"/>
      <c r="K10" s="29"/>
      <c r="L10" s="8"/>
      <c r="M10" s="80"/>
    </row>
    <row r="11" spans="1:13" ht="19" x14ac:dyDescent="0.25">
      <c r="A11" s="213" t="s">
        <v>158</v>
      </c>
      <c r="B11" s="211">
        <v>260.60000000000002</v>
      </c>
      <c r="C11" s="207">
        <f>B11/B$23</f>
        <v>0.66992287917737792</v>
      </c>
      <c r="D11" s="211">
        <f>B11*(1+D12)</f>
        <v>284.05400000000003</v>
      </c>
      <c r="E11" s="207">
        <f>D11/D$23</f>
        <v>0.66984704922439853</v>
      </c>
      <c r="F11" s="211">
        <f>D11*(1+F12)</f>
        <v>306.77832000000006</v>
      </c>
      <c r="G11" s="207">
        <f>F11/F$23</f>
        <v>0.66674786438694067</v>
      </c>
      <c r="H11" s="211">
        <f>F11*(1+H12)</f>
        <v>331.32058560000007</v>
      </c>
      <c r="I11" s="207">
        <f>H11/H$23</f>
        <v>0.66383503336672778</v>
      </c>
      <c r="J11" s="211">
        <f>H11*(1+J12)</f>
        <v>357.8262324480001</v>
      </c>
      <c r="K11" s="207">
        <f>J11/J$23</f>
        <v>0.65990895276340378</v>
      </c>
      <c r="L11" s="211">
        <f>J11*(1+L12)</f>
        <v>384.66319988160006</v>
      </c>
      <c r="M11" s="207">
        <f>L11/L$23</f>
        <v>0.6572476868034115</v>
      </c>
    </row>
    <row r="12" spans="1:13" ht="19" x14ac:dyDescent="0.25">
      <c r="A12" s="213" t="s">
        <v>157</v>
      </c>
      <c r="B12" s="26">
        <v>0.123</v>
      </c>
      <c r="C12" s="23"/>
      <c r="D12" s="27">
        <v>0.09</v>
      </c>
      <c r="E12" s="23"/>
      <c r="F12" s="27">
        <v>0.08</v>
      </c>
      <c r="G12" s="23"/>
      <c r="H12" s="27">
        <v>0.08</v>
      </c>
      <c r="I12" s="23"/>
      <c r="J12" s="27">
        <v>0.08</v>
      </c>
      <c r="K12" s="23"/>
      <c r="L12" s="26">
        <v>7.4999999999999997E-2</v>
      </c>
      <c r="M12" s="23"/>
    </row>
    <row r="13" spans="1:13" ht="19" x14ac:dyDescent="0.25">
      <c r="A13" s="213"/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9" x14ac:dyDescent="0.25">
      <c r="A14" s="213" t="s">
        <v>159</v>
      </c>
      <c r="B14" s="211">
        <v>73.900000000000006</v>
      </c>
      <c r="C14" s="207">
        <f>B14/B$23</f>
        <v>0.18997429305912597</v>
      </c>
      <c r="D14" s="211">
        <f>B14*(1+D15)</f>
        <v>82.768000000000015</v>
      </c>
      <c r="E14" s="207">
        <f>D14/D$23</f>
        <v>0.19518084790288123</v>
      </c>
      <c r="F14" s="211">
        <f>D14*(1+F15)</f>
        <v>91.044800000000023</v>
      </c>
      <c r="G14" s="207">
        <f>F14/F$23</f>
        <v>0.19787554076029928</v>
      </c>
      <c r="H14" s="211">
        <f>F14*(1+H15)</f>
        <v>100.14928000000003</v>
      </c>
      <c r="I14" s="207">
        <f>H14/H$23</f>
        <v>0.20065943234422973</v>
      </c>
      <c r="J14" s="211">
        <f>H14*(1+J15)</f>
        <v>110.16420800000004</v>
      </c>
      <c r="K14" s="207">
        <f>J14/J$23</f>
        <v>0.20316662262556298</v>
      </c>
      <c r="L14" s="211">
        <f>J14*(1+L15)</f>
        <v>121.18062880000006</v>
      </c>
      <c r="M14" s="207">
        <f>L14/L$23</f>
        <v>0.20705304793569537</v>
      </c>
    </row>
    <row r="15" spans="1:13" ht="19" x14ac:dyDescent="0.25">
      <c r="A15" s="213" t="s">
        <v>157</v>
      </c>
      <c r="B15" s="27">
        <v>0.15</v>
      </c>
      <c r="C15" s="23"/>
      <c r="D15" s="27">
        <v>0.12</v>
      </c>
      <c r="E15" s="23"/>
      <c r="F15" s="27">
        <v>0.1</v>
      </c>
      <c r="G15" s="23"/>
      <c r="H15" s="27">
        <v>0.1</v>
      </c>
      <c r="I15" s="23"/>
      <c r="J15" s="27">
        <v>0.1</v>
      </c>
      <c r="K15" s="23"/>
      <c r="L15" s="27">
        <v>0.1</v>
      </c>
      <c r="M15" s="23"/>
    </row>
    <row r="16" spans="1:13" ht="19" x14ac:dyDescent="0.25">
      <c r="A16" s="213"/>
      <c r="B16" s="13"/>
      <c r="C16" s="207"/>
      <c r="D16" s="13"/>
      <c r="E16" s="207"/>
      <c r="F16" s="13"/>
      <c r="G16" s="207"/>
      <c r="H16" s="13"/>
      <c r="I16" s="207"/>
      <c r="J16" s="13"/>
      <c r="K16" s="207"/>
      <c r="L16" s="13"/>
      <c r="M16" s="207"/>
    </row>
    <row r="17" spans="1:13" ht="19" x14ac:dyDescent="0.25">
      <c r="A17" s="213" t="s">
        <v>160</v>
      </c>
      <c r="B17" s="211">
        <v>42.8</v>
      </c>
      <c r="C17" s="207">
        <v>0.11</v>
      </c>
      <c r="D17" s="211">
        <f>B17*(1+D18)</f>
        <v>47.936</v>
      </c>
      <c r="E17" s="207">
        <v>0.11</v>
      </c>
      <c r="F17" s="211">
        <f>D17*(1+F18)</f>
        <v>53.688320000000004</v>
      </c>
      <c r="G17" s="207">
        <v>0.11</v>
      </c>
      <c r="H17" s="211">
        <f>F17*(1+H18)</f>
        <v>60.130918400000013</v>
      </c>
      <c r="I17" s="207">
        <v>0.11</v>
      </c>
      <c r="J17" s="211">
        <f>H17*(1+J18)</f>
        <v>66.745319424000016</v>
      </c>
      <c r="K17" s="207">
        <v>0.11</v>
      </c>
      <c r="L17" s="211">
        <f>J17*(1+L18)</f>
        <v>73.419851366400025</v>
      </c>
      <c r="M17" s="207">
        <v>0.11</v>
      </c>
    </row>
    <row r="18" spans="1:13" ht="19" x14ac:dyDescent="0.25">
      <c r="A18" s="213" t="s">
        <v>157</v>
      </c>
      <c r="B18" s="27">
        <v>0.11</v>
      </c>
      <c r="C18" s="23"/>
      <c r="D18" s="27">
        <v>0.12</v>
      </c>
      <c r="E18" s="23"/>
      <c r="F18" s="27">
        <v>0.12</v>
      </c>
      <c r="G18" s="23"/>
      <c r="H18" s="27">
        <v>0.12</v>
      </c>
      <c r="I18" s="23"/>
      <c r="J18" s="27">
        <v>0.11</v>
      </c>
      <c r="K18" s="23"/>
      <c r="L18" s="27">
        <v>0.1</v>
      </c>
      <c r="M18" s="23"/>
    </row>
    <row r="19" spans="1:13" ht="19" x14ac:dyDescent="0.25">
      <c r="A19" s="213"/>
      <c r="B19" s="13"/>
      <c r="C19" s="23"/>
      <c r="D19" s="13"/>
      <c r="E19" s="23"/>
      <c r="F19" s="13"/>
      <c r="G19" s="23"/>
      <c r="H19" s="13"/>
      <c r="I19" s="23"/>
      <c r="J19" s="13"/>
      <c r="K19" s="23"/>
      <c r="L19" s="13"/>
      <c r="M19" s="23"/>
    </row>
    <row r="20" spans="1:13" ht="19" x14ac:dyDescent="0.25">
      <c r="A20" s="213" t="s">
        <v>161</v>
      </c>
      <c r="B20" s="211">
        <v>11.7</v>
      </c>
      <c r="C20" s="207">
        <v>0.03</v>
      </c>
      <c r="D20" s="211">
        <v>9.3000000000000007</v>
      </c>
      <c r="E20" s="207">
        <v>0.03</v>
      </c>
      <c r="F20" s="211">
        <v>8.6</v>
      </c>
      <c r="G20" s="207">
        <v>0.03</v>
      </c>
      <c r="H20" s="211">
        <v>7.5</v>
      </c>
      <c r="I20" s="207">
        <v>0.03</v>
      </c>
      <c r="J20" s="211">
        <v>7.5</v>
      </c>
      <c r="K20" s="207">
        <v>0.03</v>
      </c>
      <c r="L20" s="211">
        <v>6</v>
      </c>
      <c r="M20" s="207">
        <v>0.03</v>
      </c>
    </row>
    <row r="21" spans="1:13" ht="19" x14ac:dyDescent="0.25">
      <c r="A21" s="213"/>
      <c r="B21" s="19"/>
      <c r="C21" s="33"/>
      <c r="D21" s="19"/>
      <c r="E21" s="33"/>
      <c r="F21" s="19"/>
      <c r="G21" s="33"/>
      <c r="H21" s="19"/>
      <c r="I21" s="33"/>
      <c r="J21" s="19"/>
      <c r="K21" s="208"/>
      <c r="L21" s="19"/>
      <c r="M21" s="208"/>
    </row>
    <row r="22" spans="1:13" ht="19" x14ac:dyDescent="0.25">
      <c r="A22" s="214"/>
      <c r="B22" s="8"/>
      <c r="C22" s="10"/>
      <c r="D22" s="8"/>
      <c r="E22" s="10"/>
      <c r="F22" s="8"/>
      <c r="G22" s="10"/>
      <c r="H22" s="8"/>
      <c r="I22" s="10"/>
      <c r="J22" s="8"/>
      <c r="K22" s="28"/>
      <c r="L22" s="8"/>
      <c r="M22" s="29"/>
    </row>
    <row r="23" spans="1:13" ht="19" x14ac:dyDescent="0.25">
      <c r="A23" s="213" t="s">
        <v>76</v>
      </c>
      <c r="B23" s="13">
        <f>B11+B14+B17+B20</f>
        <v>389</v>
      </c>
      <c r="C23" s="24">
        <f>C11+C14+C17+C20</f>
        <v>0.99989717223650387</v>
      </c>
      <c r="D23" s="209">
        <f>D11+D14+D17+D20</f>
        <v>424.05800000000005</v>
      </c>
      <c r="E23" s="210"/>
      <c r="F23" s="209">
        <f>F11+F14+F17+F20</f>
        <v>460.11144000000013</v>
      </c>
      <c r="G23" s="210"/>
      <c r="H23" s="209">
        <f>H11+H14+H17+H20</f>
        <v>499.10078400000009</v>
      </c>
      <c r="I23" s="210"/>
      <c r="J23" s="209">
        <f>J11+J14+J17+J20</f>
        <v>542.23575987200013</v>
      </c>
      <c r="K23" s="210"/>
      <c r="L23" s="209">
        <f>L11+L14+L17+L20</f>
        <v>585.2636800480002</v>
      </c>
      <c r="M23" s="25"/>
    </row>
    <row r="24" spans="1:13" ht="19" x14ac:dyDescent="0.25">
      <c r="A24" s="213" t="s">
        <v>157</v>
      </c>
      <c r="B24" s="13"/>
      <c r="C24" s="6"/>
      <c r="D24" s="246">
        <v>0.09</v>
      </c>
      <c r="E24" s="247"/>
      <c r="F24" s="246">
        <v>8.5000000000000006E-2</v>
      </c>
      <c r="G24" s="247"/>
      <c r="H24" s="246">
        <v>8.5000000000000006E-2</v>
      </c>
      <c r="I24" s="247"/>
      <c r="J24" s="246">
        <v>8.5000000000000006E-2</v>
      </c>
      <c r="K24" s="247"/>
      <c r="L24" s="246">
        <v>0.08</v>
      </c>
      <c r="M24" s="25"/>
    </row>
    <row r="25" spans="1:13" ht="19" x14ac:dyDescent="0.25">
      <c r="A25" s="215"/>
      <c r="B25" s="19"/>
      <c r="C25" s="21"/>
      <c r="D25" s="30"/>
      <c r="E25" s="21"/>
      <c r="F25" s="31"/>
      <c r="G25" s="21"/>
      <c r="H25" s="31"/>
      <c r="I25" s="21"/>
      <c r="J25" s="31"/>
      <c r="K25" s="32"/>
      <c r="L25" s="30"/>
      <c r="M25" s="33"/>
    </row>
    <row r="26" spans="1:13" x14ac:dyDescent="0.15">
      <c r="A26" s="14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0" scale="59" orientation="landscape" horizontalDpi="4294967292" verticalDpi="4294967292"/>
  <headerFooter alignWithMargins="0"/>
  <ignoredErrors>
    <ignoredError sqref="D11 D14 F11 F14 H11 H14 J11 J14 L11 L14 E11:E14 G11:G14 I11:I14 K11:K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2"/>
  <sheetViews>
    <sheetView showGridLines="0" zoomScale="120" zoomScaleNormal="120" workbookViewId="0">
      <selection activeCell="A2" sqref="A2"/>
    </sheetView>
  </sheetViews>
  <sheetFormatPr baseColWidth="10" defaultRowHeight="13" x14ac:dyDescent="0.15"/>
  <cols>
    <col min="1" max="1" width="33.6640625" customWidth="1"/>
    <col min="3" max="3" width="12.5" customWidth="1"/>
    <col min="5" max="5" width="12.1640625" customWidth="1"/>
    <col min="7" max="7" width="12.1640625" customWidth="1"/>
    <col min="9" max="9" width="11.83203125" customWidth="1"/>
    <col min="11" max="11" width="11.5" customWidth="1"/>
    <col min="13" max="13" width="13.6640625" customWidth="1"/>
  </cols>
  <sheetData>
    <row r="1" spans="1:13" ht="19" x14ac:dyDescent="0.25">
      <c r="A1" s="5"/>
      <c r="B1" s="6"/>
      <c r="D1" s="4"/>
      <c r="E1" s="4"/>
      <c r="F1" s="4"/>
      <c r="G1" s="4"/>
      <c r="H1" s="4"/>
      <c r="I1" s="4"/>
      <c r="J1" s="4"/>
      <c r="K1" s="4"/>
      <c r="L1" s="4"/>
    </row>
    <row r="2" spans="1:13" ht="19" x14ac:dyDescent="0.25">
      <c r="A2" s="1" t="s">
        <v>218</v>
      </c>
      <c r="B2" s="2"/>
      <c r="C2" s="91"/>
      <c r="D2" s="281"/>
      <c r="E2" s="4"/>
      <c r="F2" s="4"/>
      <c r="G2" s="4"/>
      <c r="H2" s="4"/>
      <c r="I2" s="4"/>
      <c r="J2" s="4"/>
      <c r="K2" s="4"/>
      <c r="L2" s="4"/>
    </row>
    <row r="3" spans="1:13" ht="19" x14ac:dyDescent="0.25">
      <c r="A3" s="5"/>
      <c r="B3" s="6"/>
      <c r="D3" s="4"/>
      <c r="E3" s="4"/>
      <c r="F3" s="4"/>
      <c r="G3" s="4"/>
      <c r="H3" s="4"/>
      <c r="I3" s="4"/>
      <c r="J3" s="4"/>
      <c r="K3" s="4"/>
      <c r="L3" s="4"/>
    </row>
    <row r="4" spans="1:13" ht="14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4" x14ac:dyDescent="0.2">
      <c r="A5" s="52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3" ht="19" x14ac:dyDescent="0.25">
      <c r="A6" s="61" t="s">
        <v>219</v>
      </c>
      <c r="B6" s="53">
        <v>1989</v>
      </c>
      <c r="C6" s="53">
        <f t="shared" ref="C6:L6" si="0">1+B6</f>
        <v>1990</v>
      </c>
      <c r="D6" s="53">
        <f t="shared" si="0"/>
        <v>1991</v>
      </c>
      <c r="E6" s="53">
        <f t="shared" si="0"/>
        <v>1992</v>
      </c>
      <c r="F6" s="53">
        <f t="shared" si="0"/>
        <v>1993</v>
      </c>
      <c r="G6" s="53">
        <f t="shared" si="0"/>
        <v>1994</v>
      </c>
      <c r="H6" s="53">
        <f t="shared" si="0"/>
        <v>1995</v>
      </c>
      <c r="I6" s="53">
        <f t="shared" si="0"/>
        <v>1996</v>
      </c>
      <c r="J6" s="53">
        <f t="shared" si="0"/>
        <v>1997</v>
      </c>
      <c r="K6" s="53">
        <f t="shared" si="0"/>
        <v>1998</v>
      </c>
      <c r="L6" s="53">
        <f t="shared" si="0"/>
        <v>1999</v>
      </c>
      <c r="M6" s="35"/>
    </row>
    <row r="7" spans="1:13" x14ac:dyDescent="0.1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3" ht="14" x14ac:dyDescent="0.2">
      <c r="A8" s="36"/>
      <c r="B8" s="37"/>
      <c r="C8" s="37"/>
      <c r="D8" s="38"/>
      <c r="E8" s="38"/>
      <c r="F8" s="38"/>
      <c r="G8" s="38"/>
      <c r="H8" s="38"/>
      <c r="I8" s="38"/>
      <c r="J8" s="38"/>
      <c r="K8" s="38"/>
      <c r="L8" s="38"/>
      <c r="M8" s="319" t="s">
        <v>248</v>
      </c>
    </row>
    <row r="9" spans="1:13" ht="14" x14ac:dyDescent="0.2">
      <c r="A9" s="142" t="s">
        <v>167</v>
      </c>
      <c r="B9" s="39">
        <v>389</v>
      </c>
      <c r="C9" s="39">
        <f t="shared" ref="C9:L9" si="1">B9*(1+C10)</f>
        <v>424.01000000000005</v>
      </c>
      <c r="D9" s="39">
        <f t="shared" si="1"/>
        <v>460.05085000000003</v>
      </c>
      <c r="E9" s="39">
        <f t="shared" si="1"/>
        <v>499.15517225000002</v>
      </c>
      <c r="F9" s="39">
        <f t="shared" si="1"/>
        <v>541.58336189124998</v>
      </c>
      <c r="G9" s="39">
        <f t="shared" si="1"/>
        <v>584.91003084254999</v>
      </c>
      <c r="H9" s="39">
        <f t="shared" si="1"/>
        <v>631.70283330995403</v>
      </c>
      <c r="I9" s="39">
        <f t="shared" si="1"/>
        <v>679.08054580820055</v>
      </c>
      <c r="J9" s="40">
        <f t="shared" si="1"/>
        <v>730.01158674381554</v>
      </c>
      <c r="K9" s="40">
        <f t="shared" si="1"/>
        <v>784.76245574960171</v>
      </c>
      <c r="L9" s="40">
        <f t="shared" si="1"/>
        <v>842.05011501932256</v>
      </c>
      <c r="M9" s="318">
        <f>GEOMEAN(C10:L10)</f>
        <v>8.0115876994125534E-2</v>
      </c>
    </row>
    <row r="10" spans="1:13" ht="14" x14ac:dyDescent="0.2">
      <c r="A10" s="143" t="s">
        <v>168</v>
      </c>
      <c r="B10" s="41">
        <v>0.1</v>
      </c>
      <c r="C10" s="41">
        <v>0.09</v>
      </c>
      <c r="D10" s="41">
        <v>8.5000000000000006E-2</v>
      </c>
      <c r="E10" s="41">
        <v>8.5000000000000006E-2</v>
      </c>
      <c r="F10" s="41">
        <v>8.5000000000000006E-2</v>
      </c>
      <c r="G10" s="41">
        <v>0.08</v>
      </c>
      <c r="H10" s="41">
        <v>0.08</v>
      </c>
      <c r="I10" s="41">
        <v>7.4999999999999997E-2</v>
      </c>
      <c r="J10" s="42">
        <v>7.4999999999999997E-2</v>
      </c>
      <c r="K10" s="42">
        <v>7.4999999999999997E-2</v>
      </c>
      <c r="L10" s="42">
        <v>7.2999999999999995E-2</v>
      </c>
      <c r="M10" s="320" t="s">
        <v>239</v>
      </c>
    </row>
    <row r="11" spans="1:13" ht="14" x14ac:dyDescent="0.2">
      <c r="A11" s="143" t="s">
        <v>238</v>
      </c>
      <c r="B11" s="317">
        <v>0.03</v>
      </c>
      <c r="C11" s="41"/>
      <c r="D11" s="41"/>
      <c r="E11" s="41"/>
      <c r="F11" s="41"/>
      <c r="G11" s="41"/>
      <c r="H11" s="41"/>
      <c r="I11" s="41"/>
      <c r="J11" s="42"/>
      <c r="K11" s="42"/>
      <c r="L11" s="42"/>
      <c r="M11" s="321">
        <f>M9-B11</f>
        <v>5.0115876994125536E-2</v>
      </c>
    </row>
    <row r="12" spans="1:13" ht="14" x14ac:dyDescent="0.2">
      <c r="A12" s="142"/>
      <c r="B12" s="39"/>
      <c r="C12" s="39"/>
      <c r="D12" s="40"/>
      <c r="E12" s="40"/>
      <c r="F12" s="40"/>
      <c r="G12" s="40"/>
      <c r="H12" s="40"/>
      <c r="I12" s="40"/>
      <c r="J12" s="38"/>
      <c r="K12" s="38"/>
      <c r="L12" s="38"/>
    </row>
    <row r="13" spans="1:13" ht="14" x14ac:dyDescent="0.2">
      <c r="A13" s="142" t="s">
        <v>112</v>
      </c>
      <c r="B13" s="40">
        <v>-7</v>
      </c>
      <c r="C13" s="40">
        <v>-5</v>
      </c>
      <c r="D13" s="40">
        <v>-5</v>
      </c>
      <c r="E13" s="40">
        <v>-5</v>
      </c>
      <c r="F13" s="40">
        <v>-5</v>
      </c>
      <c r="G13" s="40">
        <v>-5</v>
      </c>
      <c r="H13" s="40">
        <v>-5</v>
      </c>
      <c r="I13" s="40">
        <v>-5</v>
      </c>
      <c r="J13" s="40">
        <v>-5</v>
      </c>
      <c r="K13" s="40">
        <v>-5</v>
      </c>
      <c r="L13" s="40">
        <v>-5</v>
      </c>
    </row>
    <row r="14" spans="1:13" ht="14" x14ac:dyDescent="0.2">
      <c r="A14" s="142"/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</row>
    <row r="15" spans="1:13" ht="14" x14ac:dyDescent="0.2">
      <c r="A15" s="142" t="s">
        <v>113</v>
      </c>
      <c r="B15" s="39">
        <v>129</v>
      </c>
      <c r="C15" s="39">
        <v>137</v>
      </c>
      <c r="D15" s="39">
        <v>145</v>
      </c>
      <c r="E15" s="39">
        <v>155</v>
      </c>
      <c r="F15" s="39">
        <v>165</v>
      </c>
      <c r="G15" s="39">
        <v>185</v>
      </c>
      <c r="H15" s="39">
        <v>188</v>
      </c>
      <c r="I15" s="39">
        <v>198</v>
      </c>
      <c r="J15" s="40">
        <v>210</v>
      </c>
      <c r="K15" s="40">
        <v>222</v>
      </c>
      <c r="L15" s="40">
        <v>237</v>
      </c>
    </row>
    <row r="16" spans="1:13" ht="14" x14ac:dyDescent="0.2">
      <c r="A16" s="143" t="s">
        <v>169</v>
      </c>
      <c r="B16" s="41">
        <f t="shared" ref="B16:K16" si="2">B15/B9</f>
        <v>0.33161953727506427</v>
      </c>
      <c r="C16" s="42">
        <f t="shared" si="2"/>
        <v>0.32310558713237891</v>
      </c>
      <c r="D16" s="42">
        <f t="shared" si="2"/>
        <v>0.31518254992899153</v>
      </c>
      <c r="E16" s="42">
        <f t="shared" si="2"/>
        <v>0.31052467973299658</v>
      </c>
      <c r="F16" s="42">
        <f t="shared" si="2"/>
        <v>0.30466223966668315</v>
      </c>
      <c r="G16" s="42">
        <f t="shared" si="2"/>
        <v>0.31628795924992359</v>
      </c>
      <c r="H16" s="42">
        <f t="shared" si="2"/>
        <v>0.29760828998491307</v>
      </c>
      <c r="I16" s="42">
        <f t="shared" si="2"/>
        <v>0.29157071458195344</v>
      </c>
      <c r="J16" s="42">
        <f t="shared" si="2"/>
        <v>0.28766666695893928</v>
      </c>
      <c r="K16" s="42">
        <f t="shared" si="2"/>
        <v>0.28288815089649844</v>
      </c>
      <c r="L16" s="42">
        <f>L15/L9</f>
        <v>0.28145593210276038</v>
      </c>
      <c r="M16" s="44"/>
    </row>
    <row r="17" spans="1:12" ht="14" x14ac:dyDescent="0.2">
      <c r="A17" s="142"/>
      <c r="B17" s="39"/>
      <c r="C17" s="39"/>
      <c r="D17" s="40"/>
      <c r="E17" s="40"/>
      <c r="F17" s="40"/>
      <c r="G17" s="40"/>
      <c r="H17" s="40"/>
      <c r="I17" s="40"/>
      <c r="J17" s="38"/>
      <c r="K17" s="38"/>
      <c r="L17" s="38"/>
    </row>
    <row r="18" spans="1:12" ht="14" x14ac:dyDescent="0.2">
      <c r="A18" s="142" t="s">
        <v>121</v>
      </c>
      <c r="B18" s="39">
        <v>-60</v>
      </c>
      <c r="C18" s="39">
        <f>-30%*('Prévision Bilan'!B8-B40)</f>
        <v>-64.5</v>
      </c>
      <c r="D18" s="39">
        <f>-30%*('Prévision Bilan'!C8-C40)</f>
        <v>-81.45</v>
      </c>
      <c r="E18" s="39">
        <f>-30%*('Prévision Bilan'!D8-D40)</f>
        <v>-70.814999999999998</v>
      </c>
      <c r="F18" s="39">
        <f>-30%*('Prévision Bilan'!E8-E40)</f>
        <v>-67.570499999999996</v>
      </c>
      <c r="G18" s="39">
        <f>-30%*('Prévision Bilan'!F8-F40)</f>
        <v>-68.299350000000004</v>
      </c>
      <c r="H18" s="39">
        <f>-30%*('Prévision Bilan'!G8-G40)</f>
        <v>-69.409545000000008</v>
      </c>
      <c r="I18" s="39">
        <f>-30%*('Prévision Bilan'!H8-H40)</f>
        <v>-70.7866815</v>
      </c>
      <c r="J18" s="40">
        <f>-30%*('Prévision Bilan'!I8-I40)</f>
        <v>-72.350677050000002</v>
      </c>
      <c r="K18" s="40">
        <f>-30%*('Prévision Bilan'!J8-J40)</f>
        <v>-74.645473934999998</v>
      </c>
      <c r="L18" s="40">
        <f>-30%*('Prévision Bilan'!K8-K40)</f>
        <v>-76.5518317545</v>
      </c>
    </row>
    <row r="19" spans="1:12" ht="14" x14ac:dyDescent="0.2">
      <c r="A19" s="142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1:12" ht="14" x14ac:dyDescent="0.2">
      <c r="A20" s="142" t="s">
        <v>116</v>
      </c>
      <c r="B20" s="39">
        <v>4</v>
      </c>
      <c r="C20" s="39">
        <f>10%*('Prévision Bilan'!B19-'Prévision Bilan'!B30)</f>
        <v>9.7000000000000011</v>
      </c>
      <c r="D20" s="39">
        <f>10%*('Prévision Bilan'!C19-'Prévision Bilan'!C30)</f>
        <v>-3.1677999999999429E-2</v>
      </c>
      <c r="E20" s="39">
        <f>10%*('Prévision Bilan'!D19-'Prévision Bilan'!D30)</f>
        <v>-3.1677999999999429E-2</v>
      </c>
      <c r="F20" s="39">
        <f>10%*('Prévision Bilan'!E19-'Prévision Bilan'!E30)</f>
        <v>-3.1677999999999429E-2</v>
      </c>
      <c r="G20" s="39">
        <f>10%*('Prévision Bilan'!F19-'Prévision Bilan'!F30)</f>
        <v>-3.1677999999999429E-2</v>
      </c>
      <c r="H20" s="39">
        <f>10%*('Prévision Bilan'!G19-'Prévision Bilan'!G30)</f>
        <v>-3.1677999999999429E-2</v>
      </c>
      <c r="I20" s="39">
        <f>10%*('Prévision Bilan'!H19-'Prévision Bilan'!H30)</f>
        <v>-3.1677999999999429E-2</v>
      </c>
      <c r="J20" s="39">
        <f>10%*('Prévision Bilan'!I19-'Prévision Bilan'!I30)</f>
        <v>-3.1677999999999429E-2</v>
      </c>
      <c r="K20" s="39">
        <f>10%*('Prévision Bilan'!J19-'Prévision Bilan'!J30)</f>
        <v>-3.1677999999999429E-2</v>
      </c>
      <c r="L20" s="40">
        <f>10%*('Prévision Bilan'!K19-'Prévision Bilan'!K30)</f>
        <v>-3.1677999999999429E-2</v>
      </c>
    </row>
    <row r="21" spans="1:12" ht="14" x14ac:dyDescent="0.2">
      <c r="A21" s="14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1:12" ht="14" x14ac:dyDescent="0.2">
      <c r="A22" s="144"/>
      <c r="B22" s="45"/>
      <c r="C22" s="45"/>
      <c r="D22" s="45"/>
      <c r="E22" s="45"/>
      <c r="F22" s="45"/>
      <c r="G22" s="45"/>
      <c r="H22" s="45"/>
      <c r="I22" s="45"/>
      <c r="J22" s="46"/>
      <c r="K22" s="46"/>
      <c r="L22" s="47"/>
    </row>
    <row r="23" spans="1:12" ht="14" x14ac:dyDescent="0.2">
      <c r="A23" s="142" t="s">
        <v>170</v>
      </c>
      <c r="B23" s="40">
        <f>B15+B18+B20</f>
        <v>73</v>
      </c>
      <c r="C23" s="40">
        <f t="shared" ref="C23:L23" si="3">C15+C18+C20</f>
        <v>82.2</v>
      </c>
      <c r="D23" s="40">
        <f t="shared" si="3"/>
        <v>63.518321999999998</v>
      </c>
      <c r="E23" s="40">
        <f t="shared" si="3"/>
        <v>84.153322000000003</v>
      </c>
      <c r="F23" s="40">
        <f t="shared" si="3"/>
        <v>97.397822000000005</v>
      </c>
      <c r="G23" s="40">
        <f t="shared" si="3"/>
        <v>116.668972</v>
      </c>
      <c r="H23" s="40">
        <f t="shared" si="3"/>
        <v>118.55877699999999</v>
      </c>
      <c r="I23" s="40">
        <f t="shared" si="3"/>
        <v>127.1816405</v>
      </c>
      <c r="J23" s="40">
        <f t="shared" si="3"/>
        <v>137.61764495</v>
      </c>
      <c r="K23" s="40">
        <f t="shared" si="3"/>
        <v>147.32284806500002</v>
      </c>
      <c r="L23" s="40">
        <f t="shared" si="3"/>
        <v>160.4164902455</v>
      </c>
    </row>
    <row r="24" spans="1:12" ht="14" x14ac:dyDescent="0.2">
      <c r="A24" s="14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</row>
    <row r="25" spans="1:12" ht="14" x14ac:dyDescent="0.2">
      <c r="A25" s="142" t="s">
        <v>260</v>
      </c>
      <c r="B25" s="39">
        <f>-42%*B23</f>
        <v>-30.66</v>
      </c>
      <c r="C25" s="39">
        <f t="shared" ref="C25:L25" si="4">-37%*C23</f>
        <v>-30.414000000000001</v>
      </c>
      <c r="D25" s="39">
        <f t="shared" si="4"/>
        <v>-23.50177914</v>
      </c>
      <c r="E25" s="39">
        <f t="shared" si="4"/>
        <v>-31.13672914</v>
      </c>
      <c r="F25" s="39">
        <f t="shared" si="4"/>
        <v>-36.037194140000004</v>
      </c>
      <c r="G25" s="39">
        <f t="shared" si="4"/>
        <v>-43.167519639999995</v>
      </c>
      <c r="H25" s="39">
        <f t="shared" si="4"/>
        <v>-43.866747489999995</v>
      </c>
      <c r="I25" s="39">
        <f t="shared" si="4"/>
        <v>-47.057206985000001</v>
      </c>
      <c r="J25" s="39">
        <f t="shared" si="4"/>
        <v>-50.918528631499996</v>
      </c>
      <c r="K25" s="39">
        <f t="shared" si="4"/>
        <v>-54.509453784050002</v>
      </c>
      <c r="L25" s="40">
        <f t="shared" si="4"/>
        <v>-59.354101390834998</v>
      </c>
    </row>
    <row r="26" spans="1:12" ht="14" x14ac:dyDescent="0.2">
      <c r="A26" s="14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0"/>
    </row>
    <row r="27" spans="1:12" ht="14" x14ac:dyDescent="0.2">
      <c r="A27" s="144"/>
      <c r="B27" s="45"/>
      <c r="C27" s="45"/>
      <c r="D27" s="48"/>
      <c r="E27" s="48"/>
      <c r="F27" s="48"/>
      <c r="G27" s="48"/>
      <c r="H27" s="48"/>
      <c r="I27" s="48"/>
      <c r="J27" s="47"/>
      <c r="K27" s="47"/>
      <c r="L27" s="47"/>
    </row>
    <row r="28" spans="1:12" ht="14" x14ac:dyDescent="0.2">
      <c r="A28" s="142" t="s">
        <v>16</v>
      </c>
      <c r="B28" s="39">
        <f t="shared" ref="B28:L28" si="5">B23+B25</f>
        <v>42.34</v>
      </c>
      <c r="C28" s="39">
        <f t="shared" si="5"/>
        <v>51.786000000000001</v>
      </c>
      <c r="D28" s="40">
        <f t="shared" si="5"/>
        <v>40.016542860000001</v>
      </c>
      <c r="E28" s="40">
        <f t="shared" si="5"/>
        <v>53.016592860000003</v>
      </c>
      <c r="F28" s="40">
        <f t="shared" si="5"/>
        <v>61.360627860000001</v>
      </c>
      <c r="G28" s="40">
        <f t="shared" si="5"/>
        <v>73.501452360000002</v>
      </c>
      <c r="H28" s="40">
        <f t="shared" si="5"/>
        <v>74.692029509999998</v>
      </c>
      <c r="I28" s="40">
        <f t="shared" si="5"/>
        <v>80.124433514999993</v>
      </c>
      <c r="J28" s="40">
        <f t="shared" si="5"/>
        <v>86.699116318500003</v>
      </c>
      <c r="K28" s="40">
        <f t="shared" si="5"/>
        <v>92.813394280950007</v>
      </c>
      <c r="L28" s="40">
        <f t="shared" si="5"/>
        <v>101.062388854665</v>
      </c>
    </row>
    <row r="29" spans="1:12" ht="14" x14ac:dyDescent="0.2">
      <c r="A29" s="142"/>
      <c r="B29" s="39"/>
      <c r="C29" s="39"/>
      <c r="D29" s="40"/>
      <c r="E29" s="40"/>
      <c r="F29" s="40"/>
      <c r="G29" s="40"/>
      <c r="H29" s="40"/>
      <c r="I29" s="40"/>
      <c r="J29" s="38"/>
      <c r="K29" s="38"/>
      <c r="L29" s="38"/>
    </row>
    <row r="30" spans="1:12" ht="14" x14ac:dyDescent="0.2">
      <c r="A30" s="142" t="s">
        <v>175</v>
      </c>
      <c r="B30" s="39">
        <f>-B18</f>
        <v>60</v>
      </c>
      <c r="C30" s="39">
        <f t="shared" ref="C30:L30" si="6">-C18</f>
        <v>64.5</v>
      </c>
      <c r="D30" s="39">
        <f t="shared" si="6"/>
        <v>81.45</v>
      </c>
      <c r="E30" s="39">
        <f t="shared" si="6"/>
        <v>70.814999999999998</v>
      </c>
      <c r="F30" s="39">
        <f t="shared" si="6"/>
        <v>67.570499999999996</v>
      </c>
      <c r="G30" s="39">
        <f t="shared" si="6"/>
        <v>68.299350000000004</v>
      </c>
      <c r="H30" s="39">
        <f t="shared" si="6"/>
        <v>69.409545000000008</v>
      </c>
      <c r="I30" s="39">
        <f t="shared" si="6"/>
        <v>70.7866815</v>
      </c>
      <c r="J30" s="39">
        <f t="shared" si="6"/>
        <v>72.350677050000002</v>
      </c>
      <c r="K30" s="39">
        <f t="shared" si="6"/>
        <v>74.645473934999998</v>
      </c>
      <c r="L30" s="40">
        <f t="shared" si="6"/>
        <v>76.5518317545</v>
      </c>
    </row>
    <row r="31" spans="1:12" ht="14" x14ac:dyDescent="0.2">
      <c r="A31" s="216"/>
      <c r="B31" s="49"/>
      <c r="C31" s="49"/>
      <c r="D31" s="49"/>
      <c r="E31" s="49"/>
      <c r="F31" s="49"/>
      <c r="G31" s="49"/>
      <c r="H31" s="49"/>
      <c r="I31" s="49"/>
      <c r="J31" s="78"/>
      <c r="K31" s="78"/>
      <c r="L31" s="56"/>
    </row>
    <row r="32" spans="1:12" ht="14" x14ac:dyDescent="0.2">
      <c r="A32" s="142"/>
      <c r="B32" s="39"/>
      <c r="C32" s="39"/>
      <c r="D32" s="39"/>
      <c r="E32" s="39"/>
      <c r="F32" s="39"/>
      <c r="G32" s="39"/>
      <c r="H32" s="39"/>
      <c r="I32" s="39"/>
      <c r="J32" s="37"/>
      <c r="K32" s="37"/>
      <c r="L32" s="38"/>
    </row>
    <row r="33" spans="1:14" ht="14" x14ac:dyDescent="0.2">
      <c r="A33" s="142" t="s">
        <v>171</v>
      </c>
      <c r="B33" s="39">
        <f>B28+B30</f>
        <v>102.34</v>
      </c>
      <c r="C33" s="39">
        <f t="shared" ref="C33:L33" si="7">C28+C30</f>
        <v>116.286</v>
      </c>
      <c r="D33" s="39">
        <f t="shared" si="7"/>
        <v>121.46654286</v>
      </c>
      <c r="E33" s="39">
        <f t="shared" si="7"/>
        <v>123.83159286</v>
      </c>
      <c r="F33" s="39">
        <f t="shared" si="7"/>
        <v>128.93112786</v>
      </c>
      <c r="G33" s="39">
        <f t="shared" si="7"/>
        <v>141.80080236000001</v>
      </c>
      <c r="H33" s="39">
        <f t="shared" si="7"/>
        <v>144.10157451000001</v>
      </c>
      <c r="I33" s="39">
        <f t="shared" si="7"/>
        <v>150.91111501500001</v>
      </c>
      <c r="J33" s="39">
        <f t="shared" si="7"/>
        <v>159.04979336849999</v>
      </c>
      <c r="K33" s="39">
        <f t="shared" si="7"/>
        <v>167.45886821595002</v>
      </c>
      <c r="L33" s="40">
        <f t="shared" si="7"/>
        <v>177.61422060916499</v>
      </c>
    </row>
    <row r="34" spans="1:14" ht="14" x14ac:dyDescent="0.2">
      <c r="A34" s="142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/>
    </row>
    <row r="35" spans="1:14" ht="14" x14ac:dyDescent="0.2">
      <c r="A35" s="142" t="s">
        <v>129</v>
      </c>
      <c r="B35" s="39">
        <v>10</v>
      </c>
      <c r="C35" s="39">
        <f>(('Prévision Bilan'!B14+'Prévision Bilan'!B15+'Prévision Bilan'!B16)-('Prévision Bilan'!B35+'Prévision Bilan'!B36+'Prévision Bilan'!B37))-(('Prévision Bilan'!C14+'Prévision Bilan'!C15+'Prévision Bilan'!C16)-('Prévision Bilan'!C35+'Prévision Bilan'!C36+'Prévision Bilan'!C37))</f>
        <v>11.183220000000006</v>
      </c>
      <c r="D35" s="39">
        <f>(('Prévision Bilan'!C14+'Prévision Bilan'!C15+'Prévision Bilan'!C16)-('Prévision Bilan'!C35+'Prévision Bilan'!C36+'Prévision Bilan'!C37))-(('Prévision Bilan'!D14+'Prévision Bilan'!D15+'Prévision Bilan'!D16)-('Prévision Bilan'!D35+'Prévision Bilan'!D36+'Prévision Bilan'!D37))</f>
        <v>6.3055737000000249</v>
      </c>
      <c r="E35" s="39">
        <f>(('Prévision Bilan'!D14+'Prévision Bilan'!D15+'Prévision Bilan'!D16)-('Prévision Bilan'!D35+'Prévision Bilan'!D36+'Prévision Bilan'!D37))-(('Prévision Bilan'!E14+'Prévision Bilan'!E15+'Prévision Bilan'!E16)-('Prévision Bilan'!E35+'Prévision Bilan'!E36+'Prévision Bilan'!E37))</f>
        <v>6.8415474644999676</v>
      </c>
      <c r="F35" s="39">
        <f>(('Prévision Bilan'!E14+'Prévision Bilan'!E15+'Prévision Bilan'!E16)-('Prévision Bilan'!E35+'Prévision Bilan'!E36+'Prévision Bilan'!E37))-(('Prévision Bilan'!F14+'Prévision Bilan'!F15+'Prévision Bilan'!F16)-('Prévision Bilan'!F35+'Prévision Bilan'!F36+'Prévision Bilan'!F37))</f>
        <v>7.4230789989824757</v>
      </c>
      <c r="G35" s="39">
        <f>(('Prévision Bilan'!F14+'Prévision Bilan'!F15+'Prévision Bilan'!F16)-('Prévision Bilan'!F35+'Prévision Bilan'!F36+'Prévision Bilan'!F37))-(('Prévision Bilan'!G14+'Prévision Bilan'!G15+'Prévision Bilan'!G16)-('Prévision Bilan'!G35+'Prévision Bilan'!G36+'Prévision Bilan'!G37))</f>
        <v>7.5802736130786741</v>
      </c>
      <c r="H35" s="39">
        <f>(('Prévision Bilan'!G14+'Prévision Bilan'!G15+'Prévision Bilan'!G16)-('Prévision Bilan'!G35+'Prévision Bilan'!G36+'Prévision Bilan'!G37))-(('Prévision Bilan'!H14+'Prévision Bilan'!H15+'Prévision Bilan'!H16)-('Prévision Bilan'!H35+'Prévision Bilan'!H36+'Prévision Bilan'!H37))</f>
        <v>8.1866955021248202</v>
      </c>
      <c r="I35" s="39">
        <f>(('Prévision Bilan'!H14+'Prévision Bilan'!H15+'Prévision Bilan'!H16)-('Prévision Bilan'!H35+'Prévision Bilan'!H36+'Prévision Bilan'!H37))-(('Prévision Bilan'!I14+'Prévision Bilan'!I15+'Prévision Bilan'!I16)-('Prévision Bilan'!I35+'Prévision Bilan'!I36+'Prévision Bilan'!I37))</f>
        <v>8.2890291959014348</v>
      </c>
      <c r="J35" s="39">
        <f>(('Prévision Bilan'!I14+'Prévision Bilan'!I15+'Prévision Bilan'!I16)-('Prévision Bilan'!I35+'Prévision Bilan'!I36+'Prévision Bilan'!I37))-(('Prévision Bilan'!J14+'Prévision Bilan'!J15+'Prévision Bilan'!J16)-('Prévision Bilan'!J35+'Prévision Bilan'!J36+'Prévision Bilan'!J37))</f>
        <v>8.9107063855940964</v>
      </c>
      <c r="K35" s="39">
        <f>(('Prévision Bilan'!J14+'Prévision Bilan'!J15+'Prévision Bilan'!J16)-('Prévision Bilan'!J35+'Prévision Bilan'!J36+'Prévision Bilan'!J37))-(('Prévision Bilan'!K14+'Prévision Bilan'!K15+'Prévision Bilan'!K16)-('Prévision Bilan'!K35+'Prévision Bilan'!K36+'Prévision Bilan'!K37))</f>
        <v>9.579009364513638</v>
      </c>
      <c r="L35" s="40">
        <f>(('Prévision Bilan'!K14+'Prévision Bilan'!K15+'Prévision Bilan'!K16)-('Prévision Bilan'!K35+'Prévision Bilan'!K36+'Prévision Bilan'!K37))-(('Prévision Bilan'!L14+'Prévision Bilan'!L15+'Prévision Bilan'!L16)-('Prévision Bilan'!L35+'Prévision Bilan'!L36+'Prévision Bilan'!L37))</f>
        <v>10.022836798402693</v>
      </c>
    </row>
    <row r="36" spans="1:14" ht="14" x14ac:dyDescent="0.2">
      <c r="A36" s="21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50"/>
    </row>
    <row r="37" spans="1:14" ht="14" x14ac:dyDescent="0.2">
      <c r="A37" s="14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</row>
    <row r="38" spans="1:14" ht="14" x14ac:dyDescent="0.2">
      <c r="A38" s="142" t="s">
        <v>172</v>
      </c>
      <c r="B38" s="39">
        <f t="shared" ref="B38:L38" si="8">B33+B35</f>
        <v>112.34</v>
      </c>
      <c r="C38" s="39">
        <f t="shared" si="8"/>
        <v>127.46922000000001</v>
      </c>
      <c r="D38" s="39">
        <f t="shared" si="8"/>
        <v>127.77211656000003</v>
      </c>
      <c r="E38" s="39">
        <f t="shared" si="8"/>
        <v>130.67314032449997</v>
      </c>
      <c r="F38" s="39">
        <f t="shared" si="8"/>
        <v>136.35420685898248</v>
      </c>
      <c r="G38" s="39">
        <f t="shared" si="8"/>
        <v>149.38107597307868</v>
      </c>
      <c r="H38" s="39">
        <f t="shared" si="8"/>
        <v>152.28827001212483</v>
      </c>
      <c r="I38" s="39">
        <f t="shared" si="8"/>
        <v>159.20014421090144</v>
      </c>
      <c r="J38" s="39">
        <f t="shared" si="8"/>
        <v>167.96049975409409</v>
      </c>
      <c r="K38" s="39">
        <f t="shared" si="8"/>
        <v>177.03787758046366</v>
      </c>
      <c r="L38" s="40">
        <f t="shared" si="8"/>
        <v>187.63705740756768</v>
      </c>
    </row>
    <row r="39" spans="1:14" ht="14" x14ac:dyDescent="0.2">
      <c r="A39" s="142"/>
      <c r="B39" s="39"/>
      <c r="C39" s="39"/>
      <c r="D39" s="40"/>
      <c r="E39" s="40"/>
      <c r="F39" s="40"/>
      <c r="G39" s="40"/>
      <c r="H39" s="40"/>
      <c r="I39" s="40"/>
      <c r="J39" s="38"/>
      <c r="K39" s="38"/>
      <c r="L39" s="38"/>
    </row>
    <row r="40" spans="1:14" ht="14" x14ac:dyDescent="0.2">
      <c r="A40" s="142" t="s">
        <v>184</v>
      </c>
      <c r="B40" s="39">
        <v>-75</v>
      </c>
      <c r="C40" s="39">
        <v>-98</v>
      </c>
      <c r="D40" s="40">
        <v>-72</v>
      </c>
      <c r="E40" s="40">
        <v>-66</v>
      </c>
      <c r="F40" s="40">
        <v>-68</v>
      </c>
      <c r="G40" s="40">
        <v>-70</v>
      </c>
      <c r="H40" s="40">
        <v>-72</v>
      </c>
      <c r="I40" s="51">
        <v>-74</v>
      </c>
      <c r="J40" s="51">
        <v>-77</v>
      </c>
      <c r="K40" s="51">
        <v>-79</v>
      </c>
      <c r="L40" s="51">
        <v>-81</v>
      </c>
    </row>
    <row r="41" spans="1:14" ht="14" x14ac:dyDescent="0.2">
      <c r="A41" s="142"/>
      <c r="B41" s="290">
        <f>-B40/B9</f>
        <v>0.19280205655526991</v>
      </c>
      <c r="C41" s="290">
        <f t="shared" ref="C41:L41" si="9">-C40/C9</f>
        <v>0.23112662437206666</v>
      </c>
      <c r="D41" s="290">
        <f t="shared" si="9"/>
        <v>0.15650443858543028</v>
      </c>
      <c r="E41" s="290">
        <f t="shared" si="9"/>
        <v>0.13222341201534049</v>
      </c>
      <c r="F41" s="290">
        <f t="shared" si="9"/>
        <v>0.12555777149899669</v>
      </c>
      <c r="G41" s="290">
        <f t="shared" si="9"/>
        <v>0.11967652512159271</v>
      </c>
      <c r="H41" s="290">
        <f t="shared" si="9"/>
        <v>0.11397764297294542</v>
      </c>
      <c r="I41" s="290">
        <f t="shared" si="9"/>
        <v>0.10897087312658865</v>
      </c>
      <c r="J41" s="290">
        <f t="shared" si="9"/>
        <v>0.1054777778849444</v>
      </c>
      <c r="K41" s="290">
        <f t="shared" si="9"/>
        <v>0.10066740504875395</v>
      </c>
      <c r="L41" s="203">
        <f t="shared" si="9"/>
        <v>9.6193799579424422E-2</v>
      </c>
    </row>
    <row r="42" spans="1:14" ht="14" x14ac:dyDescent="0.2">
      <c r="A42" s="216"/>
      <c r="B42" s="49"/>
      <c r="C42" s="49"/>
      <c r="D42" s="50"/>
      <c r="E42" s="50"/>
      <c r="F42" s="50"/>
      <c r="G42" s="50"/>
      <c r="H42" s="50"/>
      <c r="I42" s="217"/>
      <c r="J42" s="217"/>
      <c r="K42" s="217"/>
      <c r="L42" s="217"/>
    </row>
    <row r="43" spans="1:14" ht="14" x14ac:dyDescent="0.2">
      <c r="A43" s="142"/>
      <c r="B43" s="39"/>
      <c r="C43" s="39"/>
      <c r="D43" s="40"/>
      <c r="E43" s="40"/>
      <c r="F43" s="40"/>
      <c r="G43" s="40"/>
      <c r="H43" s="40"/>
      <c r="I43" s="40"/>
      <c r="J43" s="38"/>
      <c r="K43" s="38"/>
      <c r="L43" s="38"/>
    </row>
    <row r="44" spans="1:14" ht="14" x14ac:dyDescent="0.2">
      <c r="A44" s="142" t="s">
        <v>131</v>
      </c>
      <c r="B44" s="39">
        <f t="shared" ref="B44:L44" si="10">B38+B40</f>
        <v>37.340000000000003</v>
      </c>
      <c r="C44" s="39">
        <f t="shared" si="10"/>
        <v>29.469220000000007</v>
      </c>
      <c r="D44" s="39">
        <f t="shared" si="10"/>
        <v>55.772116560000029</v>
      </c>
      <c r="E44" s="39">
        <f t="shared" si="10"/>
        <v>64.673140324499968</v>
      </c>
      <c r="F44" s="39">
        <f t="shared" si="10"/>
        <v>68.354206858982479</v>
      </c>
      <c r="G44" s="39">
        <f t="shared" si="10"/>
        <v>79.38107597307868</v>
      </c>
      <c r="H44" s="39">
        <f t="shared" si="10"/>
        <v>80.288270012124826</v>
      </c>
      <c r="I44" s="39">
        <f t="shared" si="10"/>
        <v>85.200144210901442</v>
      </c>
      <c r="J44" s="39">
        <f t="shared" si="10"/>
        <v>90.960499754094087</v>
      </c>
      <c r="K44" s="39">
        <f t="shared" si="10"/>
        <v>98.037877580463658</v>
      </c>
      <c r="L44" s="40">
        <f t="shared" si="10"/>
        <v>106.63705740756768</v>
      </c>
    </row>
    <row r="45" spans="1:14" ht="14" x14ac:dyDescent="0.2">
      <c r="A45" s="142"/>
      <c r="B45" s="39"/>
      <c r="C45" s="39"/>
      <c r="D45" s="40"/>
      <c r="E45" s="40"/>
      <c r="F45" s="40"/>
      <c r="G45" s="40"/>
      <c r="H45" s="40"/>
      <c r="I45" s="40"/>
      <c r="J45" s="38"/>
      <c r="K45" s="38"/>
      <c r="L45" s="38"/>
    </row>
    <row r="46" spans="1:14" ht="14" x14ac:dyDescent="0.2">
      <c r="A46" s="142" t="s">
        <v>10</v>
      </c>
      <c r="B46" s="39">
        <v>0</v>
      </c>
      <c r="C46" s="39">
        <f t="shared" ref="C46:L46" si="11">-C28</f>
        <v>-51.786000000000001</v>
      </c>
      <c r="D46" s="40">
        <f t="shared" si="11"/>
        <v>-40.016542860000001</v>
      </c>
      <c r="E46" s="40">
        <f t="shared" si="11"/>
        <v>-53.016592860000003</v>
      </c>
      <c r="F46" s="40">
        <f t="shared" si="11"/>
        <v>-61.360627860000001</v>
      </c>
      <c r="G46" s="40">
        <f t="shared" si="11"/>
        <v>-73.501452360000002</v>
      </c>
      <c r="H46" s="40">
        <f t="shared" si="11"/>
        <v>-74.692029509999998</v>
      </c>
      <c r="I46" s="40">
        <f t="shared" si="11"/>
        <v>-80.124433514999993</v>
      </c>
      <c r="J46" s="40">
        <f t="shared" si="11"/>
        <v>-86.699116318500003</v>
      </c>
      <c r="K46" s="40">
        <f t="shared" si="11"/>
        <v>-92.813394280950007</v>
      </c>
      <c r="L46" s="40">
        <f t="shared" si="11"/>
        <v>-101.062388854665</v>
      </c>
      <c r="M46" s="363"/>
      <c r="N46" s="364"/>
    </row>
    <row r="47" spans="1:14" ht="14" x14ac:dyDescent="0.2">
      <c r="A47" s="142" t="s">
        <v>173</v>
      </c>
      <c r="B47" s="39">
        <v>0</v>
      </c>
      <c r="C47" s="39">
        <v>-80</v>
      </c>
      <c r="D47" s="39">
        <f>-D44-D46-D48</f>
        <v>-20.755573700000028</v>
      </c>
      <c r="E47" s="39">
        <f t="shared" ref="E47:L47" si="12">-E44-E46-E48</f>
        <v>-16.656547464499965</v>
      </c>
      <c r="F47" s="39">
        <f t="shared" si="12"/>
        <v>-11.993578998982478</v>
      </c>
      <c r="G47" s="39">
        <f t="shared" si="12"/>
        <v>-10.879623613078678</v>
      </c>
      <c r="H47" s="39">
        <f t="shared" si="12"/>
        <v>-10.596240502124829</v>
      </c>
      <c r="I47" s="39">
        <f t="shared" si="12"/>
        <v>-10.075710695901449</v>
      </c>
      <c r="J47" s="39">
        <f t="shared" si="12"/>
        <v>-9.2613834355940838</v>
      </c>
      <c r="K47" s="39">
        <f t="shared" si="12"/>
        <v>-10.224483299513651</v>
      </c>
      <c r="L47" s="40">
        <f t="shared" si="12"/>
        <v>-10.574668552902679</v>
      </c>
      <c r="M47" s="363"/>
      <c r="N47" s="364"/>
    </row>
    <row r="48" spans="1:14" ht="14" x14ac:dyDescent="0.2">
      <c r="A48" s="142" t="s">
        <v>112</v>
      </c>
      <c r="B48" s="39">
        <f>-B13</f>
        <v>7</v>
      </c>
      <c r="C48" s="39">
        <f t="shared" ref="C48:L48" si="13">-C13</f>
        <v>5</v>
      </c>
      <c r="D48" s="39">
        <f t="shared" si="13"/>
        <v>5</v>
      </c>
      <c r="E48" s="39">
        <f t="shared" si="13"/>
        <v>5</v>
      </c>
      <c r="F48" s="39">
        <f t="shared" si="13"/>
        <v>5</v>
      </c>
      <c r="G48" s="39">
        <f t="shared" si="13"/>
        <v>5</v>
      </c>
      <c r="H48" s="39">
        <f t="shared" si="13"/>
        <v>5</v>
      </c>
      <c r="I48" s="39">
        <f t="shared" si="13"/>
        <v>5</v>
      </c>
      <c r="J48" s="39">
        <f t="shared" si="13"/>
        <v>5</v>
      </c>
      <c r="K48" s="39">
        <f t="shared" si="13"/>
        <v>5</v>
      </c>
      <c r="L48" s="40">
        <f t="shared" si="13"/>
        <v>5</v>
      </c>
      <c r="M48" s="361"/>
    </row>
    <row r="49" spans="1:12" ht="14" x14ac:dyDescent="0.2">
      <c r="A49" s="216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</row>
    <row r="50" spans="1:12" ht="14" x14ac:dyDescent="0.2">
      <c r="A50" s="142"/>
      <c r="B50" s="39"/>
      <c r="C50" s="39"/>
      <c r="D50" s="40"/>
      <c r="E50" s="40"/>
      <c r="F50" s="40"/>
      <c r="G50" s="40"/>
      <c r="H50" s="40"/>
      <c r="I50" s="40"/>
      <c r="J50" s="38"/>
      <c r="K50" s="38"/>
      <c r="L50" s="38"/>
    </row>
    <row r="51" spans="1:12" ht="14" x14ac:dyDescent="0.2">
      <c r="A51" s="142" t="s">
        <v>174</v>
      </c>
      <c r="B51" s="39">
        <f t="shared" ref="B51" si="14">B44+B46+B47</f>
        <v>37.340000000000003</v>
      </c>
      <c r="C51" s="39">
        <f>C44+C46+C47+C48</f>
        <v>-97.316779999999994</v>
      </c>
      <c r="D51" s="39">
        <f t="shared" ref="D51:L51" si="15">D44+D46+D47+D48</f>
        <v>0</v>
      </c>
      <c r="E51" s="39">
        <f t="shared" si="15"/>
        <v>0</v>
      </c>
      <c r="F51" s="39">
        <f t="shared" si="15"/>
        <v>0</v>
      </c>
      <c r="G51" s="39">
        <f t="shared" si="15"/>
        <v>0</v>
      </c>
      <c r="H51" s="39">
        <f t="shared" si="15"/>
        <v>0</v>
      </c>
      <c r="I51" s="39">
        <f t="shared" si="15"/>
        <v>0</v>
      </c>
      <c r="J51" s="39">
        <f t="shared" si="15"/>
        <v>0</v>
      </c>
      <c r="K51" s="39">
        <f t="shared" si="15"/>
        <v>0</v>
      </c>
      <c r="L51" s="40">
        <f t="shared" si="15"/>
        <v>0</v>
      </c>
    </row>
    <row r="52" spans="1:12" ht="14" x14ac:dyDescent="0.2">
      <c r="A52" s="64"/>
      <c r="B52" s="49"/>
      <c r="C52" s="49"/>
      <c r="D52" s="50"/>
      <c r="E52" s="50"/>
      <c r="F52" s="50"/>
      <c r="G52" s="50"/>
      <c r="H52" s="50"/>
      <c r="I52" s="50"/>
      <c r="J52" s="56"/>
      <c r="K52" s="56"/>
      <c r="L52" s="56"/>
    </row>
  </sheetData>
  <phoneticPr fontId="3"/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70" orientation="landscape" horizontalDpi="4294967292" verticalDpi="4294967292"/>
  <headerFooter alignWithMargins="0"/>
  <ignoredErrors>
    <ignoredError sqref="C51" formula="1"/>
    <ignoredError sqref="M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73"/>
  <sheetViews>
    <sheetView showGridLines="0" zoomScale="110" zoomScaleNormal="110" workbookViewId="0">
      <selection activeCell="A2" sqref="A2"/>
    </sheetView>
  </sheetViews>
  <sheetFormatPr baseColWidth="10" defaultRowHeight="16" x14ac:dyDescent="0.2"/>
  <cols>
    <col min="1" max="1" width="41.6640625" style="174" customWidth="1"/>
    <col min="2" max="16384" width="10.83203125" style="174"/>
  </cols>
  <sheetData>
    <row r="2" spans="1:12" ht="24" x14ac:dyDescent="0.3">
      <c r="A2" s="225" t="s">
        <v>83</v>
      </c>
      <c r="B2" s="114"/>
    </row>
    <row r="3" spans="1:12" x14ac:dyDescent="0.2">
      <c r="A3" s="113"/>
      <c r="B3" s="109"/>
    </row>
    <row r="4" spans="1:12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2" s="168" customFormat="1" ht="19" x14ac:dyDescent="0.25">
      <c r="A5" s="61" t="s">
        <v>84</v>
      </c>
      <c r="B5" s="187">
        <f>'Prévision P&amp;L &amp; CF'!B6</f>
        <v>1989</v>
      </c>
      <c r="C5" s="187">
        <f>'Prévision P&amp;L &amp; CF'!C6</f>
        <v>1990</v>
      </c>
      <c r="D5" s="187">
        <f>'Prévision P&amp;L &amp; CF'!D6</f>
        <v>1991</v>
      </c>
      <c r="E5" s="187">
        <f>'Prévision P&amp;L &amp; CF'!E6</f>
        <v>1992</v>
      </c>
      <c r="F5" s="187">
        <f>'Prévision P&amp;L &amp; CF'!F6</f>
        <v>1993</v>
      </c>
      <c r="G5" s="187">
        <f>'Prévision P&amp;L &amp; CF'!G6</f>
        <v>1994</v>
      </c>
      <c r="H5" s="187">
        <f>'Prévision P&amp;L &amp; CF'!H6</f>
        <v>1995</v>
      </c>
      <c r="I5" s="187">
        <f>'Prévision P&amp;L &amp; CF'!I6</f>
        <v>1996</v>
      </c>
      <c r="J5" s="187">
        <f>'Prévision P&amp;L &amp; CF'!J6</f>
        <v>1997</v>
      </c>
      <c r="K5" s="187">
        <f>'Prévision P&amp;L &amp; CF'!K6</f>
        <v>1998</v>
      </c>
      <c r="L5" s="187">
        <f>'Prévision P&amp;L &amp; CF'!L6</f>
        <v>1999</v>
      </c>
    </row>
    <row r="6" spans="1:12" x14ac:dyDescent="0.2">
      <c r="A6" s="154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x14ac:dyDescent="0.2">
      <c r="A7" s="220"/>
      <c r="B7" s="221"/>
      <c r="C7" s="221"/>
      <c r="D7" s="196"/>
      <c r="E7" s="196"/>
      <c r="F7" s="196"/>
      <c r="G7" s="196"/>
      <c r="H7" s="196"/>
      <c r="I7" s="196"/>
      <c r="J7" s="153"/>
      <c r="K7" s="153"/>
      <c r="L7" s="153"/>
    </row>
    <row r="8" spans="1:12" x14ac:dyDescent="0.2">
      <c r="A8" s="222" t="s">
        <v>87</v>
      </c>
      <c r="B8" s="221">
        <v>140</v>
      </c>
      <c r="C8" s="221">
        <f>B8+'Prévision P&amp;L &amp; CF'!C18-'Prévision P&amp;L &amp; CF'!C40</f>
        <v>173.5</v>
      </c>
      <c r="D8" s="221">
        <f>C8+'Prévision P&amp;L &amp; CF'!D18-'Prévision P&amp;L &amp; CF'!D40</f>
        <v>164.05</v>
      </c>
      <c r="E8" s="221">
        <f>D8+'Prévision P&amp;L &amp; CF'!E18-'Prévision P&amp;L &amp; CF'!E40</f>
        <v>159.23500000000001</v>
      </c>
      <c r="F8" s="221">
        <f>E8+'Prévision P&amp;L &amp; CF'!F18-'Prévision P&amp;L &amp; CF'!F40</f>
        <v>159.66450000000003</v>
      </c>
      <c r="G8" s="221">
        <f>F8+'Prévision P&amp;L &amp; CF'!G18-'Prévision P&amp;L &amp; CF'!G40</f>
        <v>161.36515000000003</v>
      </c>
      <c r="H8" s="221">
        <f>G8+'Prévision P&amp;L &amp; CF'!H18-'Prévision P&amp;L &amp; CF'!H40</f>
        <v>163.95560500000002</v>
      </c>
      <c r="I8" s="221">
        <f>H8+'Prévision P&amp;L &amp; CF'!I18-'Prévision P&amp;L &amp; CF'!I40</f>
        <v>167.16892350000001</v>
      </c>
      <c r="J8" s="196">
        <f>I8+'Prévision P&amp;L &amp; CF'!J18-'Prévision P&amp;L &amp; CF'!J40</f>
        <v>171.81824645</v>
      </c>
      <c r="K8" s="196">
        <f>J8+'Prévision P&amp;L &amp; CF'!K18-'Prévision P&amp;L &amp; CF'!K40</f>
        <v>176.17277251500002</v>
      </c>
      <c r="L8" s="196">
        <f>K8+'Prévision P&amp;L &amp; CF'!L18-'Prévision P&amp;L &amp; CF'!L40</f>
        <v>180.62094076050002</v>
      </c>
    </row>
    <row r="9" spans="1:12" x14ac:dyDescent="0.2">
      <c r="A9" s="222" t="s">
        <v>162</v>
      </c>
      <c r="B9" s="221">
        <v>17</v>
      </c>
      <c r="C9" s="221">
        <f t="shared" ref="C9:L9" si="0">B9</f>
        <v>17</v>
      </c>
      <c r="D9" s="221">
        <f t="shared" si="0"/>
        <v>17</v>
      </c>
      <c r="E9" s="221">
        <f t="shared" si="0"/>
        <v>17</v>
      </c>
      <c r="F9" s="221">
        <f t="shared" si="0"/>
        <v>17</v>
      </c>
      <c r="G9" s="221">
        <f t="shared" si="0"/>
        <v>17</v>
      </c>
      <c r="H9" s="221">
        <f t="shared" si="0"/>
        <v>17</v>
      </c>
      <c r="I9" s="221">
        <f t="shared" si="0"/>
        <v>17</v>
      </c>
      <c r="J9" s="196">
        <f t="shared" si="0"/>
        <v>17</v>
      </c>
      <c r="K9" s="196">
        <f t="shared" si="0"/>
        <v>17</v>
      </c>
      <c r="L9" s="196">
        <f t="shared" si="0"/>
        <v>17</v>
      </c>
    </row>
    <row r="10" spans="1:12" x14ac:dyDescent="0.2">
      <c r="A10" s="223"/>
      <c r="B10" s="224"/>
      <c r="C10" s="224"/>
      <c r="D10" s="224"/>
      <c r="E10" s="224"/>
      <c r="F10" s="224"/>
      <c r="G10" s="224"/>
      <c r="H10" s="224"/>
      <c r="I10" s="224"/>
      <c r="J10" s="198"/>
      <c r="K10" s="198"/>
      <c r="L10" s="198"/>
    </row>
    <row r="11" spans="1:12" x14ac:dyDescent="0.2">
      <c r="A11" s="222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196"/>
    </row>
    <row r="12" spans="1:12" s="168" customFormat="1" ht="19" x14ac:dyDescent="0.25">
      <c r="A12" s="213" t="s">
        <v>92</v>
      </c>
      <c r="B12" s="226">
        <f>B8+B9</f>
        <v>157</v>
      </c>
      <c r="C12" s="226">
        <f t="shared" ref="C12:L12" si="1">C8+C9</f>
        <v>190.5</v>
      </c>
      <c r="D12" s="226">
        <f t="shared" si="1"/>
        <v>181.05</v>
      </c>
      <c r="E12" s="226">
        <f t="shared" si="1"/>
        <v>176.23500000000001</v>
      </c>
      <c r="F12" s="226">
        <f t="shared" si="1"/>
        <v>176.66450000000003</v>
      </c>
      <c r="G12" s="226">
        <f t="shared" si="1"/>
        <v>178.36515000000003</v>
      </c>
      <c r="H12" s="226">
        <f t="shared" si="1"/>
        <v>180.95560500000002</v>
      </c>
      <c r="I12" s="226">
        <f t="shared" si="1"/>
        <v>184.16892350000001</v>
      </c>
      <c r="J12" s="226">
        <f t="shared" si="1"/>
        <v>188.81824645</v>
      </c>
      <c r="K12" s="226">
        <f t="shared" si="1"/>
        <v>193.17277251500002</v>
      </c>
      <c r="L12" s="201">
        <f t="shared" si="1"/>
        <v>197.62094076050002</v>
      </c>
    </row>
    <row r="13" spans="1:12" x14ac:dyDescent="0.2">
      <c r="A13" s="222"/>
      <c r="B13" s="221"/>
      <c r="C13" s="221"/>
      <c r="D13" s="221"/>
      <c r="E13" s="221"/>
      <c r="F13" s="221"/>
      <c r="G13" s="221"/>
      <c r="H13" s="221"/>
      <c r="I13" s="221"/>
      <c r="J13" s="196"/>
      <c r="K13" s="196"/>
      <c r="L13" s="196"/>
    </row>
    <row r="14" spans="1:12" x14ac:dyDescent="0.2">
      <c r="A14" s="222" t="s">
        <v>89</v>
      </c>
      <c r="B14" s="221">
        <v>42</v>
      </c>
      <c r="C14" s="221">
        <f>'Analyse financière'!$F22*'Prévision P&amp;L &amp; CF'!C9</f>
        <v>45.78</v>
      </c>
      <c r="D14" s="221">
        <f>'Analyse financière'!$F22*'Prévision P&amp;L &amp; CF'!D9</f>
        <v>49.671300000000002</v>
      </c>
      <c r="E14" s="221">
        <f>'Analyse financière'!$F22*'Prévision P&amp;L &amp; CF'!E9</f>
        <v>53.8933605</v>
      </c>
      <c r="F14" s="221">
        <f>'Analyse financière'!$F22*'Prévision P&amp;L &amp; CF'!F9</f>
        <v>58.474296142499995</v>
      </c>
      <c r="G14" s="221">
        <f>'Analyse financière'!$F22*'Prévision P&amp;L &amp; CF'!G9</f>
        <v>63.152239833899998</v>
      </c>
      <c r="H14" s="221">
        <f>'Analyse financière'!$F22*'Prévision P&amp;L &amp; CF'!H9</f>
        <v>68.204419020612008</v>
      </c>
      <c r="I14" s="221">
        <f>'Analyse financière'!$F22*'Prévision P&amp;L &amp; CF'!I9</f>
        <v>73.319750447157901</v>
      </c>
      <c r="J14" s="221">
        <f>'Analyse financière'!$F22*'Prévision P&amp;L &amp; CF'!J9</f>
        <v>78.818731730694736</v>
      </c>
      <c r="K14" s="221">
        <f>'Analyse financière'!$F22*'Prévision P&amp;L &amp; CF'!K9</f>
        <v>84.730136610496842</v>
      </c>
      <c r="L14" s="196">
        <f>'Analyse financière'!$F22*'Prévision P&amp;L &amp; CF'!L9</f>
        <v>90.915436583063098</v>
      </c>
    </row>
    <row r="15" spans="1:12" x14ac:dyDescent="0.2">
      <c r="A15" s="222" t="s">
        <v>163</v>
      </c>
      <c r="B15" s="221">
        <v>73</v>
      </c>
      <c r="C15" s="221">
        <f>'Analyse financière'!$F28*'Prévision P&amp;L &amp; CF'!C9/365</f>
        <v>79.570000000000022</v>
      </c>
      <c r="D15" s="221">
        <f>'Analyse financière'!$F28*'Prévision P&amp;L &amp; CF'!D9/365</f>
        <v>86.333450000000013</v>
      </c>
      <c r="E15" s="221">
        <f>'Analyse financière'!$F28*'Prévision P&amp;L &amp; CF'!E9/365</f>
        <v>93.671793250000022</v>
      </c>
      <c r="F15" s="221">
        <f>'Analyse financière'!$F28*'Prévision P&amp;L &amp; CF'!F9/365</f>
        <v>101.63389567625001</v>
      </c>
      <c r="G15" s="221">
        <f>'Analyse financière'!$F28*'Prévision P&amp;L &amp; CF'!G9/365</f>
        <v>109.76460733035</v>
      </c>
      <c r="H15" s="221">
        <f>'Analyse financière'!$F28*'Prévision P&amp;L &amp; CF'!H9/365</f>
        <v>118.54577591677801</v>
      </c>
      <c r="I15" s="221">
        <f>'Analyse financière'!$F28*'Prévision P&amp;L &amp; CF'!I9/365</f>
        <v>127.43670911053636</v>
      </c>
      <c r="J15" s="221">
        <f>'Analyse financière'!$F28*'Prévision P&amp;L &amp; CF'!J9/365</f>
        <v>136.99446229382659</v>
      </c>
      <c r="K15" s="221">
        <f>'Analyse financière'!$F28*'Prévision P&amp;L &amp; CF'!K9/365</f>
        <v>147.26904696586357</v>
      </c>
      <c r="L15" s="196">
        <f>'Analyse financière'!$F28*'Prévision P&amp;L &amp; CF'!L9/365</f>
        <v>158.0196873943716</v>
      </c>
    </row>
    <row r="16" spans="1:12" x14ac:dyDescent="0.2">
      <c r="A16" s="222" t="s">
        <v>101</v>
      </c>
      <c r="B16" s="221">
        <v>20</v>
      </c>
      <c r="C16" s="221">
        <f>'Historique Bilan'!$F22*'Prévision P&amp;L &amp; CF'!C9/'Historique P&amp;L'!$F10</f>
        <v>21.8</v>
      </c>
      <c r="D16" s="221">
        <f>'Historique Bilan'!$F22*'Prévision P&amp;L &amp; CF'!D9/'Historique P&amp;L'!$F10</f>
        <v>23.652999999999999</v>
      </c>
      <c r="E16" s="221">
        <f>'Historique Bilan'!$F22*'Prévision P&amp;L &amp; CF'!E9/'Historique P&amp;L'!$F10</f>
        <v>25.663505000000001</v>
      </c>
      <c r="F16" s="221">
        <f>'Historique Bilan'!$F22*'Prévision P&amp;L &amp; CF'!F9/'Historique P&amp;L'!$F10</f>
        <v>27.844902925</v>
      </c>
      <c r="G16" s="221">
        <f>'Historique Bilan'!$F22*'Prévision P&amp;L &amp; CF'!G9/'Historique P&amp;L'!$F10</f>
        <v>30.072495158999999</v>
      </c>
      <c r="H16" s="221">
        <f>'Historique Bilan'!$F22*'Prévision P&amp;L &amp; CF'!H9/'Historique P&amp;L'!$F10</f>
        <v>32.478294771720002</v>
      </c>
      <c r="I16" s="221">
        <f>'Historique Bilan'!$F22*'Prévision P&amp;L &amp; CF'!I9/'Historique P&amp;L'!$F10</f>
        <v>34.914166879599001</v>
      </c>
      <c r="J16" s="221">
        <f>'Historique Bilan'!$F22*'Prévision P&amp;L &amp; CF'!J9/'Historique P&amp;L'!$F10</f>
        <v>37.532729395568921</v>
      </c>
      <c r="K16" s="221">
        <f>'Historique Bilan'!$F22*'Prévision P&amp;L &amp; CF'!K9/'Historique P&amp;L'!$F10</f>
        <v>40.347684100236592</v>
      </c>
      <c r="L16" s="196">
        <f>'Historique Bilan'!$F22*'Prévision P&amp;L &amp; CF'!L9/'Historique P&amp;L'!$F10</f>
        <v>43.293065039553859</v>
      </c>
    </row>
    <row r="17" spans="1:12" x14ac:dyDescent="0.2">
      <c r="A17" s="222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196"/>
    </row>
    <row r="18" spans="1:12" x14ac:dyDescent="0.2">
      <c r="A18" s="222" t="s">
        <v>164</v>
      </c>
      <c r="B18" s="221">
        <f>-'Prévision P&amp;L &amp; CF'!B47</f>
        <v>0</v>
      </c>
      <c r="C18" s="221">
        <f>B18-'Prévision P&amp;L &amp; CF'!C47</f>
        <v>80</v>
      </c>
      <c r="D18" s="221">
        <f>C18-'Prévision P&amp;L &amp; CF'!D47</f>
        <v>100.75557370000003</v>
      </c>
      <c r="E18" s="221">
        <f>D18-'Prévision P&amp;L &amp; CF'!E47</f>
        <v>117.41212116449999</v>
      </c>
      <c r="F18" s="221">
        <f>E18-'Prévision P&amp;L &amp; CF'!F47</f>
        <v>129.40570016348246</v>
      </c>
      <c r="G18" s="221">
        <f>F18-'Prévision P&amp;L &amp; CF'!G47</f>
        <v>140.28532377656114</v>
      </c>
      <c r="H18" s="221">
        <f>G18-'Prévision P&amp;L &amp; CF'!H47</f>
        <v>150.88156427868597</v>
      </c>
      <c r="I18" s="221">
        <f>H18-'Prévision P&amp;L &amp; CF'!I47</f>
        <v>160.95727497458742</v>
      </c>
      <c r="J18" s="221">
        <f>I18-'Prévision P&amp;L &amp; CF'!J47</f>
        <v>170.21865841018149</v>
      </c>
      <c r="K18" s="221">
        <f>J18-'Prévision P&amp;L &amp; CF'!K47</f>
        <v>180.44314170969514</v>
      </c>
      <c r="L18" s="196">
        <f>K18-'Prévision P&amp;L &amp; CF'!L47</f>
        <v>191.01781026259783</v>
      </c>
    </row>
    <row r="19" spans="1:12" x14ac:dyDescent="0.2">
      <c r="A19" s="222" t="s">
        <v>91</v>
      </c>
      <c r="B19" s="221">
        <v>110</v>
      </c>
      <c r="C19" s="221">
        <f>B19+'Prévision P&amp;L &amp; CF'!C51</f>
        <v>12.683220000000006</v>
      </c>
      <c r="D19" s="221">
        <f>C19+'Prévision P&amp;L &amp; CF'!D51</f>
        <v>12.683220000000006</v>
      </c>
      <c r="E19" s="221">
        <f>D19+'Prévision P&amp;L &amp; CF'!E51</f>
        <v>12.683220000000006</v>
      </c>
      <c r="F19" s="221">
        <f>E19+'Prévision P&amp;L &amp; CF'!F51</f>
        <v>12.683220000000006</v>
      </c>
      <c r="G19" s="221">
        <f>F19+'Prévision P&amp;L &amp; CF'!G51</f>
        <v>12.683220000000006</v>
      </c>
      <c r="H19" s="221">
        <f>G19+'Prévision P&amp;L &amp; CF'!H51</f>
        <v>12.683220000000006</v>
      </c>
      <c r="I19" s="221">
        <f>H19+'Prévision P&amp;L &amp; CF'!I51</f>
        <v>12.683220000000006</v>
      </c>
      <c r="J19" s="221">
        <f>I19+'Prévision P&amp;L &amp; CF'!J51</f>
        <v>12.683220000000006</v>
      </c>
      <c r="K19" s="221">
        <f>J19+'Prévision P&amp;L &amp; CF'!K51</f>
        <v>12.683220000000006</v>
      </c>
      <c r="L19" s="196">
        <f>K19+'Prévision P&amp;L &amp; CF'!L51</f>
        <v>12.683220000000006</v>
      </c>
    </row>
    <row r="20" spans="1:12" x14ac:dyDescent="0.2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198"/>
    </row>
    <row r="21" spans="1:12" x14ac:dyDescent="0.2">
      <c r="A21" s="222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196"/>
    </row>
    <row r="22" spans="1:12" s="168" customFormat="1" ht="19" x14ac:dyDescent="0.25">
      <c r="A22" s="213" t="s">
        <v>93</v>
      </c>
      <c r="B22" s="226">
        <f t="shared" ref="B22:L22" si="2">B14+B15+B16+B18+B19</f>
        <v>245</v>
      </c>
      <c r="C22" s="226">
        <f t="shared" si="2"/>
        <v>239.83322000000004</v>
      </c>
      <c r="D22" s="226">
        <f t="shared" si="2"/>
        <v>273.09654370000004</v>
      </c>
      <c r="E22" s="226">
        <f t="shared" si="2"/>
        <v>303.32399991450001</v>
      </c>
      <c r="F22" s="226">
        <f t="shared" si="2"/>
        <v>330.04201490723244</v>
      </c>
      <c r="G22" s="226">
        <f t="shared" si="2"/>
        <v>355.95788609981116</v>
      </c>
      <c r="H22" s="226">
        <f t="shared" si="2"/>
        <v>382.793273987796</v>
      </c>
      <c r="I22" s="226">
        <f t="shared" si="2"/>
        <v>409.31112141188066</v>
      </c>
      <c r="J22" s="226">
        <f t="shared" si="2"/>
        <v>436.24780183027173</v>
      </c>
      <c r="K22" s="226">
        <f t="shared" si="2"/>
        <v>465.47322938629213</v>
      </c>
      <c r="L22" s="201">
        <f t="shared" si="2"/>
        <v>495.92921927958639</v>
      </c>
    </row>
    <row r="23" spans="1:12" x14ac:dyDescent="0.2">
      <c r="A23" s="222"/>
      <c r="B23" s="221"/>
      <c r="C23" s="221"/>
      <c r="D23" s="196"/>
      <c r="E23" s="196"/>
      <c r="F23" s="196"/>
      <c r="G23" s="196"/>
      <c r="H23" s="196"/>
      <c r="I23" s="196"/>
      <c r="J23" s="153"/>
      <c r="K23" s="153"/>
      <c r="L23" s="153"/>
    </row>
    <row r="24" spans="1:12" s="168" customFormat="1" ht="19" x14ac:dyDescent="0.25">
      <c r="A24" s="170" t="s">
        <v>94</v>
      </c>
      <c r="B24" s="228">
        <f t="shared" ref="B24:L24" si="3">B12+B22</f>
        <v>402</v>
      </c>
      <c r="C24" s="228">
        <f t="shared" si="3"/>
        <v>430.33322000000004</v>
      </c>
      <c r="D24" s="228">
        <f t="shared" si="3"/>
        <v>454.14654370000005</v>
      </c>
      <c r="E24" s="228">
        <f t="shared" si="3"/>
        <v>479.55899991450002</v>
      </c>
      <c r="F24" s="228">
        <f t="shared" si="3"/>
        <v>506.70651490723247</v>
      </c>
      <c r="G24" s="228">
        <f t="shared" si="3"/>
        <v>534.32303609981113</v>
      </c>
      <c r="H24" s="228">
        <f t="shared" si="3"/>
        <v>563.74887898779605</v>
      </c>
      <c r="I24" s="228">
        <f t="shared" si="3"/>
        <v>593.48004491188067</v>
      </c>
      <c r="J24" s="228">
        <f t="shared" si="3"/>
        <v>625.06604828027173</v>
      </c>
      <c r="K24" s="228">
        <f t="shared" si="3"/>
        <v>658.64600190129215</v>
      </c>
      <c r="L24" s="229">
        <f t="shared" si="3"/>
        <v>693.55016004008644</v>
      </c>
    </row>
    <row r="25" spans="1:12" x14ac:dyDescent="0.2">
      <c r="A25" s="222"/>
      <c r="B25" s="221"/>
      <c r="C25" s="221"/>
      <c r="D25" s="196"/>
      <c r="E25" s="196"/>
      <c r="F25" s="196"/>
      <c r="G25" s="196"/>
      <c r="H25" s="196"/>
      <c r="I25" s="196"/>
      <c r="J25" s="153"/>
      <c r="K25" s="153"/>
      <c r="L25" s="153"/>
    </row>
    <row r="26" spans="1:12" x14ac:dyDescent="0.2">
      <c r="A26" s="222" t="s">
        <v>95</v>
      </c>
      <c r="B26" s="221">
        <v>171</v>
      </c>
      <c r="C26" s="221">
        <f>B26+'Prévision P&amp;L &amp; CF'!C28+'Prévision P&amp;L &amp; CF'!C46</f>
        <v>171</v>
      </c>
      <c r="D26" s="221">
        <f>C26+'Prévision P&amp;L &amp; CF'!D28+'Prévision P&amp;L &amp; CF'!D46</f>
        <v>171</v>
      </c>
      <c r="E26" s="221">
        <f>D26+'Prévision P&amp;L &amp; CF'!E28+'Prévision P&amp;L &amp; CF'!E46</f>
        <v>171</v>
      </c>
      <c r="F26" s="221">
        <f>E26+'Prévision P&amp;L &amp; CF'!F28+'Prévision P&amp;L &amp; CF'!F46</f>
        <v>171</v>
      </c>
      <c r="G26" s="221">
        <f>F26+'Prévision P&amp;L &amp; CF'!G28+'Prévision P&amp;L &amp; CF'!G46</f>
        <v>171</v>
      </c>
      <c r="H26" s="221">
        <f>G26+'Prévision P&amp;L &amp; CF'!H28+'Prévision P&amp;L &amp; CF'!H46</f>
        <v>171</v>
      </c>
      <c r="I26" s="221">
        <f>H26+'Prévision P&amp;L &amp; CF'!I28+'Prévision P&amp;L &amp; CF'!I46</f>
        <v>171</v>
      </c>
      <c r="J26" s="221">
        <f>I26+'Prévision P&amp;L &amp; CF'!J28+'Prévision P&amp;L &amp; CF'!J46</f>
        <v>171</v>
      </c>
      <c r="K26" s="221">
        <f>J26+'Prévision P&amp;L &amp; CF'!K28+'Prévision P&amp;L &amp; CF'!K46</f>
        <v>170.99999999999997</v>
      </c>
      <c r="L26" s="196">
        <f>K26+'Prévision P&amp;L &amp; CF'!L28+'Prévision P&amp;L &amp; CF'!L46</f>
        <v>170.99999999999994</v>
      </c>
    </row>
    <row r="27" spans="1:12" x14ac:dyDescent="0.2">
      <c r="A27" s="222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196"/>
    </row>
    <row r="28" spans="1:12" x14ac:dyDescent="0.2">
      <c r="A28" s="222" t="s">
        <v>165</v>
      </c>
      <c r="B28" s="221">
        <v>20</v>
      </c>
      <c r="C28" s="221">
        <f>B28-'Prévision P&amp;L &amp; CF'!C13</f>
        <v>25</v>
      </c>
      <c r="D28" s="221">
        <f>C28-'Prévision P&amp;L &amp; CF'!D13</f>
        <v>30</v>
      </c>
      <c r="E28" s="221">
        <f>D28-'Prévision P&amp;L &amp; CF'!E13</f>
        <v>35</v>
      </c>
      <c r="F28" s="221">
        <f>E28-'Prévision P&amp;L &amp; CF'!F13</f>
        <v>40</v>
      </c>
      <c r="G28" s="221">
        <f>F28-'Prévision P&amp;L &amp; CF'!G13</f>
        <v>45</v>
      </c>
      <c r="H28" s="221">
        <f>G28-'Prévision P&amp;L &amp; CF'!H13</f>
        <v>50</v>
      </c>
      <c r="I28" s="221">
        <f>H28-'Prévision P&amp;L &amp; CF'!I13</f>
        <v>55</v>
      </c>
      <c r="J28" s="221">
        <f>I28-'Prévision P&amp;L &amp; CF'!J13</f>
        <v>60</v>
      </c>
      <c r="K28" s="221">
        <f>J28-'Prévision P&amp;L &amp; CF'!K13</f>
        <v>65</v>
      </c>
      <c r="L28" s="196">
        <f>K28-'Prévision P&amp;L &amp; CF'!L13</f>
        <v>70</v>
      </c>
    </row>
    <row r="29" spans="1:12" x14ac:dyDescent="0.2">
      <c r="A29" s="222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196"/>
    </row>
    <row r="30" spans="1:12" x14ac:dyDescent="0.2">
      <c r="A30" s="222" t="s">
        <v>97</v>
      </c>
      <c r="B30" s="221">
        <v>13</v>
      </c>
      <c r="C30" s="221">
        <v>13</v>
      </c>
      <c r="D30" s="221">
        <v>13</v>
      </c>
      <c r="E30" s="221">
        <v>13</v>
      </c>
      <c r="F30" s="221">
        <v>13</v>
      </c>
      <c r="G30" s="221">
        <v>13</v>
      </c>
      <c r="H30" s="221">
        <v>13</v>
      </c>
      <c r="I30" s="221">
        <v>13</v>
      </c>
      <c r="J30" s="196">
        <v>13</v>
      </c>
      <c r="K30" s="196">
        <v>13</v>
      </c>
      <c r="L30" s="196">
        <v>13</v>
      </c>
    </row>
    <row r="31" spans="1:12" x14ac:dyDescent="0.2">
      <c r="A31" s="223"/>
      <c r="B31" s="224"/>
      <c r="C31" s="224"/>
      <c r="D31" s="224"/>
      <c r="E31" s="224"/>
      <c r="F31" s="224"/>
      <c r="G31" s="224"/>
      <c r="H31" s="224"/>
      <c r="I31" s="224"/>
      <c r="J31" s="198"/>
      <c r="K31" s="198"/>
      <c r="L31" s="198"/>
    </row>
    <row r="32" spans="1:12" x14ac:dyDescent="0.2">
      <c r="A32" s="222"/>
      <c r="B32" s="221"/>
      <c r="C32" s="221"/>
      <c r="D32" s="221"/>
      <c r="E32" s="221"/>
      <c r="F32" s="221"/>
      <c r="G32" s="221"/>
      <c r="H32" s="221"/>
      <c r="I32" s="221"/>
      <c r="J32" s="196"/>
      <c r="K32" s="196"/>
      <c r="L32" s="199"/>
    </row>
    <row r="33" spans="1:12" s="168" customFormat="1" ht="19" x14ac:dyDescent="0.25">
      <c r="A33" s="213" t="s">
        <v>98</v>
      </c>
      <c r="B33" s="226">
        <f>B26+B28+B30</f>
        <v>204</v>
      </c>
      <c r="C33" s="226">
        <f t="shared" ref="C33:L33" si="4">C26+C28+C30</f>
        <v>209</v>
      </c>
      <c r="D33" s="226">
        <f t="shared" si="4"/>
        <v>214</v>
      </c>
      <c r="E33" s="226">
        <f t="shared" si="4"/>
        <v>219</v>
      </c>
      <c r="F33" s="226">
        <f t="shared" si="4"/>
        <v>224</v>
      </c>
      <c r="G33" s="226">
        <f t="shared" si="4"/>
        <v>229</v>
      </c>
      <c r="H33" s="226">
        <f t="shared" si="4"/>
        <v>234</v>
      </c>
      <c r="I33" s="226">
        <f t="shared" si="4"/>
        <v>239</v>
      </c>
      <c r="J33" s="226">
        <f t="shared" si="4"/>
        <v>244</v>
      </c>
      <c r="K33" s="226">
        <f>K26+K28+K30</f>
        <v>248.99999999999997</v>
      </c>
      <c r="L33" s="201">
        <f t="shared" si="4"/>
        <v>253.99999999999994</v>
      </c>
    </row>
    <row r="34" spans="1:12" x14ac:dyDescent="0.2">
      <c r="A34" s="222"/>
      <c r="B34" s="221"/>
      <c r="C34" s="221"/>
      <c r="D34" s="221"/>
      <c r="E34" s="221"/>
      <c r="F34" s="221"/>
      <c r="G34" s="221"/>
      <c r="H34" s="221"/>
      <c r="I34" s="221"/>
      <c r="J34" s="196"/>
      <c r="K34" s="196"/>
      <c r="L34" s="196"/>
    </row>
    <row r="35" spans="1:12" x14ac:dyDescent="0.2">
      <c r="A35" s="222" t="s">
        <v>100</v>
      </c>
      <c r="B35" s="221">
        <v>100</v>
      </c>
      <c r="C35" s="221">
        <f>27%*'Prévision P&amp;L &amp; CF'!C9</f>
        <v>114.48270000000002</v>
      </c>
      <c r="D35" s="221">
        <f>27%*'Prévision P&amp;L &amp; CF'!D9</f>
        <v>124.21372950000001</v>
      </c>
      <c r="E35" s="221">
        <f>27%*'Prévision P&amp;L &amp; CF'!E9</f>
        <v>134.7718965075</v>
      </c>
      <c r="F35" s="221">
        <f>27%*'Prévision P&amp;L &amp; CF'!F9</f>
        <v>146.2275077106375</v>
      </c>
      <c r="G35" s="221">
        <f>27%*'Prévision P&amp;L &amp; CF'!G9</f>
        <v>157.92570832748851</v>
      </c>
      <c r="H35" s="221">
        <f>27%*'Prévision P&amp;L &amp; CF'!H9</f>
        <v>170.55976499368759</v>
      </c>
      <c r="I35" s="221">
        <f>27%*'Prévision P&amp;L &amp; CF'!I9</f>
        <v>183.35174736821415</v>
      </c>
      <c r="J35" s="221">
        <f>27%*'Prévision P&amp;L &amp; CF'!J9</f>
        <v>197.10312842083022</v>
      </c>
      <c r="K35" s="221">
        <f>27%*'Prévision P&amp;L &amp; CF'!K9</f>
        <v>211.88586305239247</v>
      </c>
      <c r="L35" s="196">
        <f>27%*'Prévision P&amp;L &amp; CF'!L9</f>
        <v>227.3535310552171</v>
      </c>
    </row>
    <row r="36" spans="1:12" x14ac:dyDescent="0.2">
      <c r="A36" s="222" t="s">
        <v>166</v>
      </c>
      <c r="B36" s="221">
        <v>35</v>
      </c>
      <c r="C36" s="221">
        <f>9%*'Prévision P&amp;L &amp; CF'!C9</f>
        <v>38.160900000000005</v>
      </c>
      <c r="D36" s="221">
        <f>9%*'Prévision P&amp;L &amp; CF'!D9</f>
        <v>41.404576499999997</v>
      </c>
      <c r="E36" s="221">
        <f>9%*'Prévision P&amp;L &amp; CF'!E9</f>
        <v>44.923965502500003</v>
      </c>
      <c r="F36" s="221">
        <f>9%*'Prévision P&amp;L &amp; CF'!F9</f>
        <v>48.742502570212494</v>
      </c>
      <c r="G36" s="221">
        <f>9%*'Prévision P&amp;L &amp; CF'!G9</f>
        <v>52.6419027758295</v>
      </c>
      <c r="H36" s="221">
        <f>9%*'Prévision P&amp;L &amp; CF'!H9</f>
        <v>56.85325499789586</v>
      </c>
      <c r="I36" s="221">
        <f>9%*'Prévision P&amp;L &amp; CF'!I9</f>
        <v>61.117249122738045</v>
      </c>
      <c r="J36" s="196">
        <f>9%*'Prévision P&amp;L &amp; CF'!J9</f>
        <v>65.701042806943391</v>
      </c>
      <c r="K36" s="196">
        <f>9%*'Prévision P&amp;L &amp; CF'!K9</f>
        <v>70.628621017464155</v>
      </c>
      <c r="L36" s="196">
        <f>9%*'Prévision P&amp;L &amp; CF'!L9</f>
        <v>75.78451035173903</v>
      </c>
    </row>
    <row r="37" spans="1:12" x14ac:dyDescent="0.2">
      <c r="A37" s="222" t="s">
        <v>102</v>
      </c>
      <c r="B37" s="221">
        <v>63</v>
      </c>
      <c r="C37" s="221">
        <f>16.2%*'Prévision P&amp;L &amp; CF'!C9</f>
        <v>68.689620000000005</v>
      </c>
      <c r="D37" s="221">
        <f>16.2%*'Prévision P&amp;L &amp; CF'!D9</f>
        <v>74.528237700000005</v>
      </c>
      <c r="E37" s="221">
        <f>16.2%*'Prévision P&amp;L &amp; CF'!E9</f>
        <v>80.863137904500007</v>
      </c>
      <c r="F37" s="221">
        <f>16.2%*'Prévision P&amp;L &amp; CF'!F9</f>
        <v>87.736504626382498</v>
      </c>
      <c r="G37" s="221">
        <f>16.2%*'Prévision P&amp;L &amp; CF'!G9</f>
        <v>94.755424996493105</v>
      </c>
      <c r="H37" s="221">
        <f>16.2%*'Prévision P&amp;L &amp; CF'!H9</f>
        <v>102.33585899621255</v>
      </c>
      <c r="I37" s="221">
        <f>16.2%*'Prévision P&amp;L &amp; CF'!I9</f>
        <v>110.01104842092849</v>
      </c>
      <c r="J37" s="196">
        <f>16.2%*'Prévision P&amp;L &amp; CF'!J9</f>
        <v>118.26187705249812</v>
      </c>
      <c r="K37" s="196">
        <f>16.2%*'Prévision P&amp;L &amp; CF'!K9</f>
        <v>127.13151783143549</v>
      </c>
      <c r="L37" s="196">
        <f>16.2%*'Prévision P&amp;L &amp; CF'!L9</f>
        <v>136.41211863313026</v>
      </c>
    </row>
    <row r="38" spans="1:12" x14ac:dyDescent="0.2">
      <c r="A38" s="223"/>
      <c r="B38" s="224"/>
      <c r="C38" s="224"/>
      <c r="D38" s="224"/>
      <c r="E38" s="224"/>
      <c r="F38" s="224"/>
      <c r="G38" s="224"/>
      <c r="H38" s="224"/>
      <c r="I38" s="224"/>
      <c r="J38" s="198"/>
      <c r="K38" s="198"/>
      <c r="L38" s="198"/>
    </row>
    <row r="39" spans="1:12" x14ac:dyDescent="0.2">
      <c r="A39" s="222"/>
      <c r="B39" s="221"/>
      <c r="C39" s="221"/>
      <c r="D39" s="221"/>
      <c r="E39" s="221"/>
      <c r="F39" s="221"/>
      <c r="G39" s="221"/>
      <c r="H39" s="221"/>
      <c r="I39" s="221"/>
      <c r="J39" s="196"/>
      <c r="K39" s="196"/>
      <c r="L39" s="196"/>
    </row>
    <row r="40" spans="1:12" s="168" customFormat="1" ht="19" x14ac:dyDescent="0.25">
      <c r="A40" s="213" t="s">
        <v>103</v>
      </c>
      <c r="B40" s="226">
        <f>SUM(B35:B37)</f>
        <v>198</v>
      </c>
      <c r="C40" s="226">
        <f t="shared" ref="C40:L40" si="5">SUM(C35:C37)</f>
        <v>221.33322000000004</v>
      </c>
      <c r="D40" s="226">
        <f t="shared" si="5"/>
        <v>240.14654370000002</v>
      </c>
      <c r="E40" s="226">
        <f t="shared" si="5"/>
        <v>260.55899991450002</v>
      </c>
      <c r="F40" s="226">
        <f t="shared" si="5"/>
        <v>282.70651490723247</v>
      </c>
      <c r="G40" s="226">
        <f t="shared" si="5"/>
        <v>305.32303609981113</v>
      </c>
      <c r="H40" s="226">
        <f t="shared" si="5"/>
        <v>329.74887898779599</v>
      </c>
      <c r="I40" s="226">
        <f t="shared" si="5"/>
        <v>354.48004491188067</v>
      </c>
      <c r="J40" s="226">
        <f t="shared" si="5"/>
        <v>381.06604828027173</v>
      </c>
      <c r="K40" s="226">
        <f t="shared" si="5"/>
        <v>409.6460019012921</v>
      </c>
      <c r="L40" s="201">
        <f t="shared" si="5"/>
        <v>439.55016004008638</v>
      </c>
    </row>
    <row r="41" spans="1:12" x14ac:dyDescent="0.2">
      <c r="A41" s="222"/>
      <c r="B41" s="221"/>
      <c r="C41" s="221"/>
      <c r="D41" s="196"/>
      <c r="E41" s="196"/>
      <c r="F41" s="196"/>
      <c r="G41" s="196"/>
      <c r="H41" s="196"/>
      <c r="I41" s="196"/>
      <c r="J41" s="153"/>
      <c r="K41" s="153"/>
      <c r="L41" s="153"/>
    </row>
    <row r="42" spans="1:12" s="168" customFormat="1" ht="19" x14ac:dyDescent="0.25">
      <c r="A42" s="170" t="s">
        <v>104</v>
      </c>
      <c r="B42" s="228">
        <f>B33+B40</f>
        <v>402</v>
      </c>
      <c r="C42" s="228">
        <f t="shared" ref="C42:L42" si="6">C33+C40</f>
        <v>430.33322000000004</v>
      </c>
      <c r="D42" s="228">
        <f t="shared" si="6"/>
        <v>454.14654370000005</v>
      </c>
      <c r="E42" s="228">
        <f t="shared" si="6"/>
        <v>479.55899991450002</v>
      </c>
      <c r="F42" s="228">
        <f t="shared" si="6"/>
        <v>506.70651490723247</v>
      </c>
      <c r="G42" s="228">
        <f t="shared" si="6"/>
        <v>534.32303609981113</v>
      </c>
      <c r="H42" s="228">
        <f t="shared" si="6"/>
        <v>563.74887898779593</v>
      </c>
      <c r="I42" s="228">
        <f t="shared" si="6"/>
        <v>593.48004491188067</v>
      </c>
      <c r="J42" s="228">
        <f t="shared" si="6"/>
        <v>625.06604828027173</v>
      </c>
      <c r="K42" s="228">
        <f t="shared" si="6"/>
        <v>658.64600190129204</v>
      </c>
      <c r="L42" s="229">
        <f t="shared" si="6"/>
        <v>693.55016004008633</v>
      </c>
    </row>
    <row r="45" spans="1:12" x14ac:dyDescent="0.2">
      <c r="A45" s="148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</row>
    <row r="46" spans="1:12" ht="19" x14ac:dyDescent="0.25">
      <c r="A46" s="61" t="s">
        <v>124</v>
      </c>
      <c r="B46" s="184">
        <f t="shared" ref="B46:L46" si="7">B5</f>
        <v>1989</v>
      </c>
      <c r="C46" s="184">
        <f t="shared" si="7"/>
        <v>1990</v>
      </c>
      <c r="D46" s="184">
        <f t="shared" si="7"/>
        <v>1991</v>
      </c>
      <c r="E46" s="184">
        <f t="shared" si="7"/>
        <v>1992</v>
      </c>
      <c r="F46" s="184">
        <f t="shared" si="7"/>
        <v>1993</v>
      </c>
      <c r="G46" s="184">
        <f t="shared" si="7"/>
        <v>1994</v>
      </c>
      <c r="H46" s="184">
        <f t="shared" si="7"/>
        <v>1995</v>
      </c>
      <c r="I46" s="184">
        <f t="shared" si="7"/>
        <v>1996</v>
      </c>
      <c r="J46" s="184">
        <f t="shared" si="7"/>
        <v>1997</v>
      </c>
      <c r="K46" s="184">
        <f t="shared" si="7"/>
        <v>1998</v>
      </c>
      <c r="L46" s="184">
        <f t="shared" si="7"/>
        <v>1999</v>
      </c>
    </row>
    <row r="47" spans="1:12" x14ac:dyDescent="0.2">
      <c r="A47" s="151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2" x14ac:dyDescent="0.2">
      <c r="A48" s="183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</row>
    <row r="49" spans="1:12" x14ac:dyDescent="0.2">
      <c r="A49" s="175" t="s">
        <v>92</v>
      </c>
      <c r="B49" s="196">
        <f t="shared" ref="B49:L49" si="8">B12</f>
        <v>157</v>
      </c>
      <c r="C49" s="196">
        <f t="shared" si="8"/>
        <v>190.5</v>
      </c>
      <c r="D49" s="196">
        <f t="shared" si="8"/>
        <v>181.05</v>
      </c>
      <c r="E49" s="196">
        <f t="shared" si="8"/>
        <v>176.23500000000001</v>
      </c>
      <c r="F49" s="196">
        <f t="shared" si="8"/>
        <v>176.66450000000003</v>
      </c>
      <c r="G49" s="196">
        <f t="shared" si="8"/>
        <v>178.36515000000003</v>
      </c>
      <c r="H49" s="196">
        <f t="shared" si="8"/>
        <v>180.95560500000002</v>
      </c>
      <c r="I49" s="196">
        <f t="shared" si="8"/>
        <v>184.16892350000001</v>
      </c>
      <c r="J49" s="196">
        <f t="shared" si="8"/>
        <v>188.81824645</v>
      </c>
      <c r="K49" s="196">
        <f t="shared" si="8"/>
        <v>193.17277251500002</v>
      </c>
      <c r="L49" s="196">
        <f t="shared" si="8"/>
        <v>197.62094076050002</v>
      </c>
    </row>
    <row r="50" spans="1:12" x14ac:dyDescent="0.2">
      <c r="A50" s="175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x14ac:dyDescent="0.2">
      <c r="A51" s="175" t="s">
        <v>125</v>
      </c>
      <c r="B51" s="196">
        <f t="shared" ref="B51:L51" si="9">B14+B15+B16-(B35+B36+B37)</f>
        <v>-63</v>
      </c>
      <c r="C51" s="196">
        <f t="shared" si="9"/>
        <v>-74.183220000000006</v>
      </c>
      <c r="D51" s="196">
        <f t="shared" si="9"/>
        <v>-80.488793700000031</v>
      </c>
      <c r="E51" s="196">
        <f t="shared" si="9"/>
        <v>-87.330341164499998</v>
      </c>
      <c r="F51" s="196">
        <f t="shared" si="9"/>
        <v>-94.753420163482474</v>
      </c>
      <c r="G51" s="196">
        <f t="shared" si="9"/>
        <v>-102.33369377656115</v>
      </c>
      <c r="H51" s="196">
        <f t="shared" si="9"/>
        <v>-110.52038927868597</v>
      </c>
      <c r="I51" s="196">
        <f t="shared" si="9"/>
        <v>-118.8094184745874</v>
      </c>
      <c r="J51" s="196">
        <f t="shared" si="9"/>
        <v>-127.7201248601815</v>
      </c>
      <c r="K51" s="196">
        <f t="shared" si="9"/>
        <v>-137.29913422469514</v>
      </c>
      <c r="L51" s="196">
        <f t="shared" si="9"/>
        <v>-147.32197102309783</v>
      </c>
    </row>
    <row r="52" spans="1:12" x14ac:dyDescent="0.2">
      <c r="A52" s="175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x14ac:dyDescent="0.2">
      <c r="A53" s="175" t="s">
        <v>198</v>
      </c>
      <c r="B53" s="196">
        <f>-B28</f>
        <v>-20</v>
      </c>
      <c r="C53" s="196">
        <f t="shared" ref="C53:L53" si="10">-C28</f>
        <v>-25</v>
      </c>
      <c r="D53" s="196">
        <f t="shared" si="10"/>
        <v>-30</v>
      </c>
      <c r="E53" s="196">
        <f t="shared" si="10"/>
        <v>-35</v>
      </c>
      <c r="F53" s="196">
        <f t="shared" si="10"/>
        <v>-40</v>
      </c>
      <c r="G53" s="196">
        <f t="shared" si="10"/>
        <v>-45</v>
      </c>
      <c r="H53" s="196">
        <f t="shared" si="10"/>
        <v>-50</v>
      </c>
      <c r="I53" s="196">
        <f t="shared" si="10"/>
        <v>-55</v>
      </c>
      <c r="J53" s="196">
        <f t="shared" si="10"/>
        <v>-60</v>
      </c>
      <c r="K53" s="196">
        <f t="shared" si="10"/>
        <v>-65</v>
      </c>
      <c r="L53" s="196">
        <f t="shared" si="10"/>
        <v>-70</v>
      </c>
    </row>
    <row r="54" spans="1:12" ht="18" x14ac:dyDescent="0.2">
      <c r="A54" s="175"/>
      <c r="B54" s="201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  <row r="55" spans="1:12" s="168" customFormat="1" ht="18" x14ac:dyDescent="0.2">
      <c r="A55" s="200" t="s">
        <v>126</v>
      </c>
      <c r="B55" s="201">
        <f>B49+B51+B53</f>
        <v>74</v>
      </c>
      <c r="C55" s="201">
        <f t="shared" ref="C55:L55" si="11">C49+C51+C53</f>
        <v>91.316779999999994</v>
      </c>
      <c r="D55" s="201">
        <f t="shared" si="11"/>
        <v>70.561206299999981</v>
      </c>
      <c r="E55" s="201">
        <f t="shared" si="11"/>
        <v>53.904658835500015</v>
      </c>
      <c r="F55" s="201">
        <f t="shared" si="11"/>
        <v>41.911079836517558</v>
      </c>
      <c r="G55" s="201">
        <f t="shared" si="11"/>
        <v>31.03145622343888</v>
      </c>
      <c r="H55" s="201">
        <f t="shared" si="11"/>
        <v>20.435215721314052</v>
      </c>
      <c r="I55" s="201">
        <f t="shared" si="11"/>
        <v>10.359505025412602</v>
      </c>
      <c r="J55" s="201">
        <f t="shared" si="11"/>
        <v>1.0981215898185042</v>
      </c>
      <c r="K55" s="201">
        <f t="shared" si="11"/>
        <v>-9.126361709695118</v>
      </c>
      <c r="L55" s="201">
        <f t="shared" si="11"/>
        <v>-19.701030262597811</v>
      </c>
    </row>
    <row r="56" spans="1:12" x14ac:dyDescent="0.2">
      <c r="A56" s="197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</row>
    <row r="57" spans="1:12" x14ac:dyDescent="0.2">
      <c r="A57" s="183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</row>
    <row r="58" spans="1:12" x14ac:dyDescent="0.2">
      <c r="A58" s="175" t="s">
        <v>95</v>
      </c>
      <c r="B58" s="196">
        <f>B26</f>
        <v>171</v>
      </c>
      <c r="C58" s="196">
        <f t="shared" ref="C58:L58" si="12">C26</f>
        <v>171</v>
      </c>
      <c r="D58" s="196">
        <f t="shared" si="12"/>
        <v>171</v>
      </c>
      <c r="E58" s="196">
        <f t="shared" si="12"/>
        <v>171</v>
      </c>
      <c r="F58" s="196">
        <f t="shared" si="12"/>
        <v>171</v>
      </c>
      <c r="G58" s="196">
        <f t="shared" si="12"/>
        <v>171</v>
      </c>
      <c r="H58" s="196">
        <f t="shared" si="12"/>
        <v>171</v>
      </c>
      <c r="I58" s="196">
        <f t="shared" si="12"/>
        <v>171</v>
      </c>
      <c r="J58" s="196">
        <f t="shared" si="12"/>
        <v>171</v>
      </c>
      <c r="K58" s="196">
        <f t="shared" si="12"/>
        <v>170.99999999999997</v>
      </c>
      <c r="L58" s="196">
        <f t="shared" si="12"/>
        <v>170.99999999999994</v>
      </c>
    </row>
    <row r="59" spans="1:12" x14ac:dyDescent="0.2">
      <c r="A59" s="175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1:12" x14ac:dyDescent="0.2">
      <c r="A60" s="175" t="s">
        <v>127</v>
      </c>
      <c r="B60" s="196">
        <f t="shared" ref="B60:L60" si="13">B30-B19-B18</f>
        <v>-97</v>
      </c>
      <c r="C60" s="196">
        <f t="shared" si="13"/>
        <v>-79.683220000000006</v>
      </c>
      <c r="D60" s="196">
        <f t="shared" si="13"/>
        <v>-100.43879370000003</v>
      </c>
      <c r="E60" s="196">
        <f t="shared" si="13"/>
        <v>-117.0953411645</v>
      </c>
      <c r="F60" s="196">
        <f t="shared" si="13"/>
        <v>-129.08892016348247</v>
      </c>
      <c r="G60" s="196">
        <f t="shared" si="13"/>
        <v>-139.96854377656115</v>
      </c>
      <c r="H60" s="196">
        <f t="shared" si="13"/>
        <v>-150.56478427868598</v>
      </c>
      <c r="I60" s="196">
        <f t="shared" si="13"/>
        <v>-160.64049497458743</v>
      </c>
      <c r="J60" s="196">
        <f t="shared" si="13"/>
        <v>-169.9018784101815</v>
      </c>
      <c r="K60" s="196">
        <f t="shared" si="13"/>
        <v>-180.12636170969515</v>
      </c>
      <c r="L60" s="196">
        <f t="shared" si="13"/>
        <v>-190.70103026259784</v>
      </c>
    </row>
    <row r="61" spans="1:12" x14ac:dyDescent="0.2">
      <c r="A61" s="175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1:12" s="168" customFormat="1" ht="18" x14ac:dyDescent="0.2">
      <c r="A62" s="200" t="s">
        <v>128</v>
      </c>
      <c r="B62" s="201">
        <f>B58+B60</f>
        <v>74</v>
      </c>
      <c r="C62" s="201">
        <f t="shared" ref="C62:L62" si="14">C58+C60</f>
        <v>91.316779999999994</v>
      </c>
      <c r="D62" s="201">
        <f t="shared" si="14"/>
        <v>70.561206299999967</v>
      </c>
      <c r="E62" s="201">
        <f t="shared" si="14"/>
        <v>53.904658835500001</v>
      </c>
      <c r="F62" s="201">
        <f t="shared" si="14"/>
        <v>41.91107983651753</v>
      </c>
      <c r="G62" s="201">
        <f t="shared" si="14"/>
        <v>31.031456223438852</v>
      </c>
      <c r="H62" s="201">
        <f t="shared" si="14"/>
        <v>20.435215721314023</v>
      </c>
      <c r="I62" s="201">
        <f t="shared" si="14"/>
        <v>10.359505025412574</v>
      </c>
      <c r="J62" s="201">
        <f t="shared" si="14"/>
        <v>1.0981215898185042</v>
      </c>
      <c r="K62" s="201">
        <f t="shared" si="14"/>
        <v>-9.1263617096951748</v>
      </c>
      <c r="L62" s="201">
        <f t="shared" si="14"/>
        <v>-19.701030262597897</v>
      </c>
    </row>
    <row r="63" spans="1:12" x14ac:dyDescent="0.2">
      <c r="A63" s="197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</row>
    <row r="64" spans="1:12" x14ac:dyDescent="0.2">
      <c r="A64" s="183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</row>
    <row r="65" spans="1:12" x14ac:dyDescent="0.2">
      <c r="A65" s="175" t="s">
        <v>135</v>
      </c>
      <c r="B65" s="196">
        <f t="shared" ref="B65:L65" si="15">B33-B12</f>
        <v>47</v>
      </c>
      <c r="C65" s="196">
        <f t="shared" si="15"/>
        <v>18.5</v>
      </c>
      <c r="D65" s="196">
        <f t="shared" si="15"/>
        <v>32.949999999999989</v>
      </c>
      <c r="E65" s="196">
        <f t="shared" si="15"/>
        <v>42.764999999999986</v>
      </c>
      <c r="F65" s="196">
        <f t="shared" si="15"/>
        <v>47.335499999999968</v>
      </c>
      <c r="G65" s="196">
        <f t="shared" si="15"/>
        <v>50.634849999999972</v>
      </c>
      <c r="H65" s="196">
        <f t="shared" si="15"/>
        <v>53.04439499999998</v>
      </c>
      <c r="I65" s="196">
        <f t="shared" si="15"/>
        <v>54.831076499999995</v>
      </c>
      <c r="J65" s="196">
        <f t="shared" si="15"/>
        <v>55.181753549999996</v>
      </c>
      <c r="K65" s="196">
        <f t="shared" si="15"/>
        <v>55.827227484999952</v>
      </c>
      <c r="L65" s="196">
        <f t="shared" si="15"/>
        <v>56.379059239499924</v>
      </c>
    </row>
    <row r="66" spans="1:12" x14ac:dyDescent="0.2">
      <c r="A66" s="175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</row>
    <row r="67" spans="1:12" x14ac:dyDescent="0.2">
      <c r="A67" s="175" t="s">
        <v>136</v>
      </c>
      <c r="B67" s="196">
        <f>-B51</f>
        <v>63</v>
      </c>
      <c r="C67" s="196">
        <f t="shared" ref="C67:L67" si="16">-C51</f>
        <v>74.183220000000006</v>
      </c>
      <c r="D67" s="196">
        <f t="shared" si="16"/>
        <v>80.488793700000031</v>
      </c>
      <c r="E67" s="196">
        <f t="shared" si="16"/>
        <v>87.330341164499998</v>
      </c>
      <c r="F67" s="196">
        <f t="shared" si="16"/>
        <v>94.753420163482474</v>
      </c>
      <c r="G67" s="196">
        <f t="shared" si="16"/>
        <v>102.33369377656115</v>
      </c>
      <c r="H67" s="196">
        <f t="shared" si="16"/>
        <v>110.52038927868597</v>
      </c>
      <c r="I67" s="196">
        <f t="shared" si="16"/>
        <v>118.8094184745874</v>
      </c>
      <c r="J67" s="196">
        <f t="shared" si="16"/>
        <v>127.7201248601815</v>
      </c>
      <c r="K67" s="196">
        <f t="shared" si="16"/>
        <v>137.29913422469514</v>
      </c>
      <c r="L67" s="196">
        <f t="shared" si="16"/>
        <v>147.32197102309783</v>
      </c>
    </row>
    <row r="68" spans="1:12" x14ac:dyDescent="0.2">
      <c r="A68" s="175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</row>
    <row r="69" spans="1:12" x14ac:dyDescent="0.2">
      <c r="A69" s="175" t="s">
        <v>137</v>
      </c>
      <c r="B69" s="196">
        <f>B65+B67</f>
        <v>110</v>
      </c>
      <c r="C69" s="196">
        <f t="shared" ref="C69:L69" si="17">C65+C67</f>
        <v>92.683220000000006</v>
      </c>
      <c r="D69" s="196">
        <f t="shared" si="17"/>
        <v>113.43879370000002</v>
      </c>
      <c r="E69" s="196">
        <f t="shared" si="17"/>
        <v>130.09534116449998</v>
      </c>
      <c r="F69" s="196">
        <f t="shared" si="17"/>
        <v>142.08892016348244</v>
      </c>
      <c r="G69" s="196">
        <f t="shared" si="17"/>
        <v>152.96854377656112</v>
      </c>
      <c r="H69" s="196">
        <f t="shared" si="17"/>
        <v>163.56478427868595</v>
      </c>
      <c r="I69" s="196">
        <f t="shared" si="17"/>
        <v>173.6404949745874</v>
      </c>
      <c r="J69" s="196">
        <f t="shared" si="17"/>
        <v>182.9018784101815</v>
      </c>
      <c r="K69" s="196">
        <f t="shared" si="17"/>
        <v>193.12636170969509</v>
      </c>
      <c r="L69" s="196">
        <f t="shared" si="17"/>
        <v>203.70103026259775</v>
      </c>
    </row>
    <row r="70" spans="1:12" x14ac:dyDescent="0.2">
      <c r="A70" s="175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</row>
    <row r="71" spans="1:12" x14ac:dyDescent="0.2">
      <c r="A71" s="175" t="s">
        <v>179</v>
      </c>
      <c r="B71" s="196">
        <f t="shared" ref="B71:L71" si="18">B18+B19</f>
        <v>110</v>
      </c>
      <c r="C71" s="196">
        <f t="shared" si="18"/>
        <v>92.683220000000006</v>
      </c>
      <c r="D71" s="196">
        <f t="shared" si="18"/>
        <v>113.43879370000003</v>
      </c>
      <c r="E71" s="196">
        <f t="shared" si="18"/>
        <v>130.09534116449998</v>
      </c>
      <c r="F71" s="196">
        <f t="shared" si="18"/>
        <v>142.08892016348247</v>
      </c>
      <c r="G71" s="196">
        <f t="shared" si="18"/>
        <v>152.96854377656115</v>
      </c>
      <c r="H71" s="196">
        <f t="shared" si="18"/>
        <v>163.56478427868598</v>
      </c>
      <c r="I71" s="196">
        <f t="shared" si="18"/>
        <v>173.64049497458743</v>
      </c>
      <c r="J71" s="196">
        <f t="shared" si="18"/>
        <v>182.9018784101815</v>
      </c>
      <c r="K71" s="196">
        <f t="shared" si="18"/>
        <v>193.12636170969515</v>
      </c>
      <c r="L71" s="196">
        <f t="shared" si="18"/>
        <v>203.70103026259784</v>
      </c>
    </row>
    <row r="72" spans="1:12" x14ac:dyDescent="0.2">
      <c r="A72" s="197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</row>
    <row r="73" spans="1:12" x14ac:dyDescent="0.2"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75" orientation="landscape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DF0D-1AF3-6D43-8187-05D66428755B}">
  <dimension ref="A1:C48"/>
  <sheetViews>
    <sheetView showGridLines="0" workbookViewId="0">
      <selection activeCell="A2" sqref="A2"/>
    </sheetView>
  </sheetViews>
  <sheetFormatPr baseColWidth="10" defaultRowHeight="16" x14ac:dyDescent="0.2"/>
  <cols>
    <col min="1" max="1" width="10.83203125" style="285"/>
    <col min="2" max="3" width="10.83203125" style="286"/>
    <col min="4" max="16384" width="10.83203125" style="174"/>
  </cols>
  <sheetData>
    <row r="1" spans="1:3" x14ac:dyDescent="0.2">
      <c r="A1" s="164"/>
      <c r="B1" s="287"/>
      <c r="C1" s="287"/>
    </row>
    <row r="2" spans="1:3" x14ac:dyDescent="0.2">
      <c r="A2" s="153" t="s">
        <v>231</v>
      </c>
      <c r="B2" s="288" t="s">
        <v>229</v>
      </c>
      <c r="C2" s="288" t="s">
        <v>230</v>
      </c>
    </row>
    <row r="3" spans="1:3" x14ac:dyDescent="0.2">
      <c r="A3" s="156"/>
      <c r="B3" s="289"/>
      <c r="C3" s="289"/>
    </row>
    <row r="4" spans="1:3" x14ac:dyDescent="0.2">
      <c r="A4" s="164"/>
      <c r="B4" s="287"/>
      <c r="C4" s="287"/>
    </row>
    <row r="5" spans="1:3" x14ac:dyDescent="0.2">
      <c r="A5" s="153">
        <v>1980</v>
      </c>
      <c r="B5" s="288">
        <v>13.78417</v>
      </c>
      <c r="C5" s="288">
        <v>13.562580000000001</v>
      </c>
    </row>
    <row r="6" spans="1:3" x14ac:dyDescent="0.2">
      <c r="A6" s="153">
        <v>1981</v>
      </c>
      <c r="B6" s="288">
        <v>16.29167</v>
      </c>
      <c r="C6" s="288">
        <v>13.314399999999999</v>
      </c>
    </row>
    <row r="7" spans="1:3" x14ac:dyDescent="0.2">
      <c r="A7" s="153">
        <v>1982</v>
      </c>
      <c r="B7" s="288">
        <v>15.9975</v>
      </c>
      <c r="C7" s="288">
        <v>11.978479999999999</v>
      </c>
    </row>
    <row r="8" spans="1:3" x14ac:dyDescent="0.2">
      <c r="A8" s="153">
        <v>1983</v>
      </c>
      <c r="B8" s="288">
        <v>14.36833</v>
      </c>
      <c r="C8" s="288">
        <v>9.4595479999999998</v>
      </c>
    </row>
    <row r="9" spans="1:3" x14ac:dyDescent="0.2">
      <c r="A9" s="153">
        <v>1984</v>
      </c>
      <c r="B9" s="288">
        <v>13.404170000000001</v>
      </c>
      <c r="C9" s="288">
        <v>7.6738030000000004</v>
      </c>
    </row>
    <row r="10" spans="1:3" x14ac:dyDescent="0.2">
      <c r="A10" s="153">
        <v>1985</v>
      </c>
      <c r="B10" s="288">
        <v>11.866669999999999</v>
      </c>
      <c r="C10" s="288">
        <v>5.831099</v>
      </c>
    </row>
    <row r="11" spans="1:3" x14ac:dyDescent="0.2">
      <c r="A11" s="153">
        <v>1986</v>
      </c>
      <c r="B11" s="288">
        <v>9.1191659999999999</v>
      </c>
      <c r="C11" s="288">
        <v>2.5385270000000002</v>
      </c>
    </row>
    <row r="12" spans="1:3" x14ac:dyDescent="0.2">
      <c r="A12" s="153">
        <v>1987</v>
      </c>
      <c r="B12" s="288">
        <v>9.4786330000000003</v>
      </c>
      <c r="C12" s="288">
        <v>3.2888980000000001</v>
      </c>
    </row>
    <row r="13" spans="1:3" x14ac:dyDescent="0.2">
      <c r="A13" s="153">
        <v>1988</v>
      </c>
      <c r="B13" s="288">
        <v>9.0840499999999995</v>
      </c>
      <c r="C13" s="288">
        <v>2.7008169999999998</v>
      </c>
    </row>
    <row r="14" spans="1:3" x14ac:dyDescent="0.2">
      <c r="A14" s="153">
        <v>1989</v>
      </c>
      <c r="B14" s="288">
        <v>8.7960589999999996</v>
      </c>
      <c r="C14" s="288">
        <v>3.4983019999999998</v>
      </c>
    </row>
    <row r="15" spans="1:3" x14ac:dyDescent="0.2">
      <c r="A15" s="153">
        <v>1990</v>
      </c>
      <c r="B15" s="288">
        <v>9.9321169999999999</v>
      </c>
      <c r="C15" s="288">
        <v>3.1942819999999998</v>
      </c>
    </row>
    <row r="16" spans="1:3" x14ac:dyDescent="0.2">
      <c r="A16" s="153">
        <v>1991</v>
      </c>
      <c r="B16" s="288">
        <v>9.0383420000000001</v>
      </c>
      <c r="C16" s="288">
        <v>3.2134070000000001</v>
      </c>
    </row>
    <row r="17" spans="1:3" x14ac:dyDescent="0.2">
      <c r="A17" s="153">
        <v>1992</v>
      </c>
      <c r="B17" s="288">
        <v>8.5878750000000004</v>
      </c>
      <c r="C17" s="288">
        <v>2.3637600000000001</v>
      </c>
    </row>
    <row r="18" spans="1:3" x14ac:dyDescent="0.2">
      <c r="A18" s="153">
        <v>1993</v>
      </c>
      <c r="B18" s="288">
        <v>6.7750000000000004</v>
      </c>
      <c r="C18" s="288">
        <v>2.104463</v>
      </c>
    </row>
    <row r="19" spans="1:3" x14ac:dyDescent="0.2">
      <c r="A19" s="153">
        <v>1994</v>
      </c>
      <c r="B19" s="288">
        <v>7.2137919999999998</v>
      </c>
      <c r="C19" s="288">
        <v>1.6555150000000001</v>
      </c>
    </row>
    <row r="20" spans="1:3" x14ac:dyDescent="0.2">
      <c r="A20" s="153">
        <v>1995</v>
      </c>
      <c r="B20" s="288">
        <v>7.5349750000000002</v>
      </c>
      <c r="C20" s="288">
        <v>1.796481</v>
      </c>
    </row>
    <row r="21" spans="1:3" x14ac:dyDescent="0.2">
      <c r="A21" s="153">
        <v>1996</v>
      </c>
      <c r="B21" s="288">
        <v>6.3121419999999997</v>
      </c>
      <c r="C21" s="288">
        <v>1.9828840000000001</v>
      </c>
    </row>
    <row r="22" spans="1:3" x14ac:dyDescent="0.2">
      <c r="A22" s="153">
        <v>1997</v>
      </c>
      <c r="B22" s="288">
        <v>5.5825089999999999</v>
      </c>
      <c r="C22" s="288">
        <v>1.203943</v>
      </c>
    </row>
    <row r="23" spans="1:3" x14ac:dyDescent="0.2">
      <c r="A23" s="153">
        <v>1998</v>
      </c>
      <c r="B23" s="288">
        <v>4.6402080000000003</v>
      </c>
      <c r="C23" s="288">
        <v>0.65112689999999995</v>
      </c>
    </row>
    <row r="24" spans="1:3" x14ac:dyDescent="0.2">
      <c r="A24" s="153">
        <v>1999</v>
      </c>
      <c r="B24" s="288">
        <v>4.6087829999999999</v>
      </c>
      <c r="C24" s="288">
        <v>0.5371416</v>
      </c>
    </row>
    <row r="25" spans="1:3" x14ac:dyDescent="0.2">
      <c r="A25" s="153">
        <v>2000</v>
      </c>
      <c r="B25" s="288">
        <v>5.3944669999999997</v>
      </c>
      <c r="C25" s="288">
        <v>1.6759599999999999</v>
      </c>
    </row>
    <row r="26" spans="1:3" x14ac:dyDescent="0.2">
      <c r="A26" s="153">
        <v>2001</v>
      </c>
      <c r="B26" s="288">
        <v>4.9394580000000001</v>
      </c>
      <c r="C26" s="288">
        <v>1.634781</v>
      </c>
    </row>
    <row r="27" spans="1:3" x14ac:dyDescent="0.2">
      <c r="A27" s="153">
        <v>2002</v>
      </c>
      <c r="B27" s="288">
        <v>4.8612169999999999</v>
      </c>
      <c r="C27" s="288">
        <v>1.9234119999999999</v>
      </c>
    </row>
    <row r="28" spans="1:3" x14ac:dyDescent="0.2">
      <c r="A28" s="153">
        <v>2003</v>
      </c>
      <c r="B28" s="288">
        <v>4.1308920000000002</v>
      </c>
      <c r="C28" s="288">
        <v>2.0984720000000001</v>
      </c>
    </row>
    <row r="29" spans="1:3" x14ac:dyDescent="0.2">
      <c r="A29" s="153">
        <v>2004</v>
      </c>
      <c r="B29" s="288">
        <v>4.0991669999999996</v>
      </c>
      <c r="C29" s="288">
        <v>2.14209</v>
      </c>
    </row>
    <row r="30" spans="1:3" x14ac:dyDescent="0.2">
      <c r="A30" s="153">
        <v>2005</v>
      </c>
      <c r="B30" s="288">
        <v>3.4094419999999999</v>
      </c>
      <c r="C30" s="288">
        <v>1.7458689999999999</v>
      </c>
    </row>
    <row r="31" spans="1:3" x14ac:dyDescent="0.2">
      <c r="A31" s="153">
        <v>2006</v>
      </c>
      <c r="B31" s="288">
        <v>3.7957420000000002</v>
      </c>
      <c r="C31" s="288">
        <v>1.675125</v>
      </c>
    </row>
    <row r="32" spans="1:3" x14ac:dyDescent="0.2">
      <c r="A32" s="153">
        <v>2007</v>
      </c>
      <c r="B32" s="288">
        <v>4.3032000000000004</v>
      </c>
      <c r="C32" s="288">
        <v>1.4879979999999999</v>
      </c>
    </row>
    <row r="33" spans="1:3" x14ac:dyDescent="0.2">
      <c r="A33" s="153">
        <v>2008</v>
      </c>
      <c r="B33" s="288">
        <v>4.2343250000000001</v>
      </c>
      <c r="C33" s="288">
        <v>2.812862</v>
      </c>
    </row>
    <row r="34" spans="1:3" x14ac:dyDescent="0.2">
      <c r="A34" s="153">
        <v>2009</v>
      </c>
      <c r="B34" s="288">
        <v>3.6488170000000002</v>
      </c>
      <c r="C34" s="288">
        <v>8.7620480000000001E-2</v>
      </c>
    </row>
    <row r="35" spans="1:3" x14ac:dyDescent="0.2">
      <c r="A35" s="153">
        <v>2010</v>
      </c>
      <c r="B35" s="288">
        <v>3.1170170000000001</v>
      </c>
      <c r="C35" s="288">
        <v>1.531123</v>
      </c>
    </row>
    <row r="36" spans="1:3" x14ac:dyDescent="0.2">
      <c r="A36" s="153">
        <v>2011</v>
      </c>
      <c r="B36" s="288">
        <v>3.3210579999999998</v>
      </c>
      <c r="C36" s="288">
        <v>2.1115979999999999</v>
      </c>
    </row>
    <row r="37" spans="1:3" x14ac:dyDescent="0.2">
      <c r="A37" s="153">
        <v>2012</v>
      </c>
      <c r="B37" s="288">
        <v>2.5359919999999998</v>
      </c>
      <c r="C37" s="288">
        <v>1.9541949999999999</v>
      </c>
    </row>
    <row r="38" spans="1:3" x14ac:dyDescent="0.2">
      <c r="A38" s="153">
        <v>2013</v>
      </c>
      <c r="B38" s="288">
        <v>2.2043499999999998</v>
      </c>
      <c r="C38" s="288">
        <v>0.86371549999999997</v>
      </c>
    </row>
    <row r="39" spans="1:3" x14ac:dyDescent="0.2">
      <c r="A39" s="153">
        <v>2014</v>
      </c>
      <c r="B39" s="288">
        <v>1.666442</v>
      </c>
      <c r="C39" s="288">
        <v>0.50775879999999995</v>
      </c>
    </row>
    <row r="40" spans="1:3" x14ac:dyDescent="0.2">
      <c r="A40" s="153">
        <v>2015</v>
      </c>
      <c r="B40" s="288">
        <v>0.84185829999999995</v>
      </c>
      <c r="C40" s="288">
        <v>3.751438E-2</v>
      </c>
    </row>
    <row r="41" spans="1:3" x14ac:dyDescent="0.2">
      <c r="A41" s="153">
        <v>2016</v>
      </c>
      <c r="B41" s="288">
        <v>0.4678833</v>
      </c>
      <c r="C41" s="288">
        <v>0.1833349</v>
      </c>
    </row>
    <row r="42" spans="1:3" x14ac:dyDescent="0.2">
      <c r="A42" s="153">
        <v>2017</v>
      </c>
      <c r="B42" s="288">
        <v>0.80985830000000003</v>
      </c>
      <c r="C42" s="288">
        <v>1.0322830000000001</v>
      </c>
    </row>
    <row r="43" spans="1:3" x14ac:dyDescent="0.2">
      <c r="A43" s="153">
        <v>2018</v>
      </c>
      <c r="B43" s="288">
        <v>0.78410829999999998</v>
      </c>
      <c r="C43" s="288">
        <v>1.8508150000000001</v>
      </c>
    </row>
    <row r="44" spans="1:3" x14ac:dyDescent="0.2">
      <c r="A44" s="153">
        <v>2019</v>
      </c>
      <c r="B44" s="288">
        <v>0.13020000000000001</v>
      </c>
      <c r="C44" s="288">
        <v>1.108255</v>
      </c>
    </row>
    <row r="45" spans="1:3" x14ac:dyDescent="0.2">
      <c r="A45" s="153">
        <v>2020</v>
      </c>
      <c r="B45" s="288">
        <v>-0.1452667</v>
      </c>
      <c r="C45" s="288">
        <v>0.4764988</v>
      </c>
    </row>
    <row r="46" spans="1:3" x14ac:dyDescent="0.2">
      <c r="A46" s="153">
        <v>2021</v>
      </c>
      <c r="B46" s="288">
        <v>7.3666670000000004E-3</v>
      </c>
      <c r="C46" s="288">
        <v>1.642331</v>
      </c>
    </row>
    <row r="47" spans="1:3" x14ac:dyDescent="0.2">
      <c r="A47" s="153">
        <v>2022</v>
      </c>
      <c r="B47" s="288">
        <v>1.700833</v>
      </c>
      <c r="C47" s="288">
        <v>5.2223670000000002</v>
      </c>
    </row>
    <row r="48" spans="1:3" x14ac:dyDescent="0.2">
      <c r="A48" s="156"/>
      <c r="B48" s="289"/>
      <c r="C48" s="28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2"/>
  <sheetViews>
    <sheetView showGridLines="0" workbookViewId="0">
      <selection activeCell="A2" sqref="A2"/>
    </sheetView>
  </sheetViews>
  <sheetFormatPr baseColWidth="10" defaultRowHeight="18" x14ac:dyDescent="0.2"/>
  <cols>
    <col min="1" max="1" width="43" style="168" customWidth="1"/>
    <col min="2" max="2" width="12.1640625" style="168" customWidth="1"/>
    <col min="3" max="12" width="16.33203125" style="168" customWidth="1"/>
    <col min="13" max="16384" width="10.83203125" style="168"/>
  </cols>
  <sheetData>
    <row r="1" spans="1:12" ht="19" x14ac:dyDescent="0.25">
      <c r="A1" s="254"/>
      <c r="B1" s="260"/>
      <c r="C1" s="261"/>
      <c r="D1" s="261"/>
      <c r="E1" s="261"/>
      <c r="F1" s="262"/>
      <c r="G1" s="257"/>
      <c r="H1" s="257"/>
      <c r="I1" s="257"/>
      <c r="J1" s="257"/>
      <c r="K1" s="257"/>
      <c r="L1" s="257"/>
    </row>
    <row r="2" spans="1:12" ht="19" x14ac:dyDescent="0.25">
      <c r="A2" s="338" t="s">
        <v>31</v>
      </c>
      <c r="B2" s="12" t="s">
        <v>29</v>
      </c>
      <c r="C2" s="257"/>
      <c r="D2" s="257"/>
      <c r="E2" s="257"/>
      <c r="F2" s="263"/>
      <c r="G2" s="257"/>
      <c r="H2" s="257"/>
      <c r="I2" s="257"/>
      <c r="J2" s="257"/>
      <c r="K2" s="257"/>
      <c r="L2" s="257"/>
    </row>
    <row r="3" spans="1:12" ht="19" x14ac:dyDescent="0.25">
      <c r="A3" s="250"/>
      <c r="B3" s="264"/>
      <c r="C3" s="265"/>
      <c r="D3" s="265"/>
      <c r="E3" s="265"/>
      <c r="F3" s="266"/>
      <c r="G3" s="257"/>
      <c r="H3" s="257"/>
      <c r="I3" s="257"/>
      <c r="J3" s="257"/>
      <c r="K3" s="257"/>
      <c r="L3" s="257"/>
    </row>
    <row r="4" spans="1:12" ht="19" x14ac:dyDescent="0.25">
      <c r="A4" s="7"/>
      <c r="B4" s="261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ht="19" x14ac:dyDescent="0.25">
      <c r="A5" s="12"/>
      <c r="B5" s="257"/>
      <c r="C5" s="167">
        <v>1990</v>
      </c>
      <c r="D5" s="167">
        <f t="shared" ref="D5:L5" si="0">1+C5</f>
        <v>1991</v>
      </c>
      <c r="E5" s="167">
        <f t="shared" si="0"/>
        <v>1992</v>
      </c>
      <c r="F5" s="167">
        <f t="shared" si="0"/>
        <v>1993</v>
      </c>
      <c r="G5" s="167">
        <f t="shared" si="0"/>
        <v>1994</v>
      </c>
      <c r="H5" s="167">
        <f t="shared" si="0"/>
        <v>1995</v>
      </c>
      <c r="I5" s="167">
        <f t="shared" si="0"/>
        <v>1996</v>
      </c>
      <c r="J5" s="167">
        <f t="shared" si="0"/>
        <v>1997</v>
      </c>
      <c r="K5" s="167">
        <f t="shared" si="0"/>
        <v>1998</v>
      </c>
      <c r="L5" s="167">
        <f t="shared" si="0"/>
        <v>1999</v>
      </c>
    </row>
    <row r="6" spans="1:12" ht="19" x14ac:dyDescent="0.25">
      <c r="A6" s="18"/>
      <c r="B6" s="265"/>
      <c r="C6" s="267"/>
      <c r="D6" s="267"/>
      <c r="E6" s="267"/>
      <c r="F6" s="267"/>
      <c r="G6" s="267"/>
      <c r="H6" s="267"/>
      <c r="I6" s="267"/>
      <c r="J6" s="267"/>
      <c r="K6" s="267"/>
      <c r="L6" s="267"/>
    </row>
    <row r="7" spans="1:12" ht="19" x14ac:dyDescent="0.25">
      <c r="A7" s="213"/>
      <c r="B7" s="25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2" ht="19" x14ac:dyDescent="0.25">
      <c r="A8" s="213" t="s">
        <v>180</v>
      </c>
      <c r="B8" s="257"/>
      <c r="C8" s="166">
        <f>'Prévision P&amp;L &amp; CF'!C15</f>
        <v>137</v>
      </c>
      <c r="D8" s="166">
        <f>'Prévision P&amp;L &amp; CF'!D15</f>
        <v>145</v>
      </c>
      <c r="E8" s="166">
        <f>'Prévision P&amp;L &amp; CF'!E15</f>
        <v>155</v>
      </c>
      <c r="F8" s="166">
        <f>'Prévision P&amp;L &amp; CF'!F15</f>
        <v>165</v>
      </c>
      <c r="G8" s="166">
        <f>'Prévision P&amp;L &amp; CF'!G15</f>
        <v>185</v>
      </c>
      <c r="H8" s="166">
        <f>'Prévision P&amp;L &amp; CF'!H15</f>
        <v>188</v>
      </c>
      <c r="I8" s="166">
        <f>'Prévision P&amp;L &amp; CF'!I15</f>
        <v>198</v>
      </c>
      <c r="J8" s="166">
        <f>'Prévision P&amp;L &amp; CF'!J15</f>
        <v>210</v>
      </c>
      <c r="K8" s="166">
        <f>'Prévision P&amp;L &amp; CF'!K15</f>
        <v>222</v>
      </c>
      <c r="L8" s="166">
        <f>'Prévision P&amp;L &amp; CF'!L15</f>
        <v>237</v>
      </c>
    </row>
    <row r="9" spans="1:12" ht="19" x14ac:dyDescent="0.25">
      <c r="A9" s="213"/>
      <c r="B9" s="257"/>
      <c r="C9" s="166"/>
      <c r="D9" s="166"/>
      <c r="E9" s="166"/>
      <c r="F9" s="166"/>
      <c r="G9" s="166"/>
      <c r="H9" s="166"/>
      <c r="I9" s="166"/>
      <c r="J9" s="166"/>
      <c r="K9" s="166"/>
      <c r="L9" s="166"/>
    </row>
    <row r="10" spans="1:12" ht="19" x14ac:dyDescent="0.25">
      <c r="A10" s="213" t="s">
        <v>181</v>
      </c>
      <c r="B10" s="257"/>
      <c r="C10" s="166">
        <f t="shared" ref="C10:L10" si="1">C8*(1-$G$32)</f>
        <v>86.31</v>
      </c>
      <c r="D10" s="166">
        <f t="shared" si="1"/>
        <v>91.35</v>
      </c>
      <c r="E10" s="166">
        <f t="shared" si="1"/>
        <v>97.65</v>
      </c>
      <c r="F10" s="166">
        <f t="shared" si="1"/>
        <v>103.95</v>
      </c>
      <c r="G10" s="166">
        <f t="shared" si="1"/>
        <v>116.55</v>
      </c>
      <c r="H10" s="166">
        <f t="shared" si="1"/>
        <v>118.44</v>
      </c>
      <c r="I10" s="166">
        <f t="shared" si="1"/>
        <v>124.74</v>
      </c>
      <c r="J10" s="166">
        <f t="shared" si="1"/>
        <v>132.30000000000001</v>
      </c>
      <c r="K10" s="166">
        <f t="shared" si="1"/>
        <v>139.86000000000001</v>
      </c>
      <c r="L10" s="166">
        <f t="shared" si="1"/>
        <v>149.31</v>
      </c>
    </row>
    <row r="11" spans="1:12" ht="19" x14ac:dyDescent="0.25">
      <c r="A11" s="213"/>
      <c r="B11" s="257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2" ht="19" x14ac:dyDescent="0.25">
      <c r="A12" s="213" t="s">
        <v>182</v>
      </c>
      <c r="B12" s="257"/>
      <c r="C12" s="166">
        <f>-('Prévision P&amp;L &amp; CF'!B18+'Prévision P&amp;L &amp; CF'!B13)</f>
        <v>67</v>
      </c>
      <c r="D12" s="166">
        <f>-('Prévision P&amp;L &amp; CF'!C18+'Prévision P&amp;L &amp; CF'!C13)</f>
        <v>69.5</v>
      </c>
      <c r="E12" s="166">
        <f>-('Prévision P&amp;L &amp; CF'!D18+'Prévision P&amp;L &amp; CF'!D13)</f>
        <v>86.45</v>
      </c>
      <c r="F12" s="166">
        <f>-('Prévision P&amp;L &amp; CF'!E18+'Prévision P&amp;L &amp; CF'!E13)</f>
        <v>75.814999999999998</v>
      </c>
      <c r="G12" s="166">
        <f>-('Prévision P&amp;L &amp; CF'!F18+'Prévision P&amp;L &amp; CF'!F13)</f>
        <v>72.570499999999996</v>
      </c>
      <c r="H12" s="166">
        <f>-('Prévision P&amp;L &amp; CF'!G18+'Prévision P&amp;L &amp; CF'!G13)</f>
        <v>73.299350000000004</v>
      </c>
      <c r="I12" s="166">
        <f>-('Prévision P&amp;L &amp; CF'!H18+'Prévision P&amp;L &amp; CF'!H13)</f>
        <v>74.409545000000008</v>
      </c>
      <c r="J12" s="166">
        <f>-('Prévision P&amp;L &amp; CF'!I18+'Prévision P&amp;L &amp; CF'!I13)</f>
        <v>75.7866815</v>
      </c>
      <c r="K12" s="166">
        <f>-('Prévision P&amp;L &amp; CF'!J18+'Prévision P&amp;L &amp; CF'!J13)</f>
        <v>77.350677050000002</v>
      </c>
      <c r="L12" s="166">
        <f>-('Prévision P&amp;L &amp; CF'!K18+'Prévision P&amp;L &amp; CF'!K13)</f>
        <v>79.645473934999998</v>
      </c>
    </row>
    <row r="13" spans="1:12" ht="19" x14ac:dyDescent="0.25">
      <c r="A13" s="213"/>
      <c r="B13" s="257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2" ht="19" x14ac:dyDescent="0.25">
      <c r="A14" s="213" t="s">
        <v>183</v>
      </c>
      <c r="B14" s="257"/>
      <c r="C14" s="166">
        <f t="shared" ref="C14:L14" si="2">C12*$G$32</f>
        <v>24.79</v>
      </c>
      <c r="D14" s="166">
        <f t="shared" si="2"/>
        <v>25.715</v>
      </c>
      <c r="E14" s="166">
        <f t="shared" si="2"/>
        <v>31.986499999999999</v>
      </c>
      <c r="F14" s="166">
        <f t="shared" si="2"/>
        <v>28.051549999999999</v>
      </c>
      <c r="G14" s="166">
        <f t="shared" si="2"/>
        <v>26.851084999999998</v>
      </c>
      <c r="H14" s="166">
        <f t="shared" si="2"/>
        <v>27.120759500000002</v>
      </c>
      <c r="I14" s="166">
        <f t="shared" si="2"/>
        <v>27.531531650000002</v>
      </c>
      <c r="J14" s="166">
        <f t="shared" si="2"/>
        <v>28.041072154999998</v>
      </c>
      <c r="K14" s="166">
        <f t="shared" si="2"/>
        <v>28.619750508500001</v>
      </c>
      <c r="L14" s="166">
        <f t="shared" si="2"/>
        <v>29.468825355949999</v>
      </c>
    </row>
    <row r="15" spans="1:12" ht="19" x14ac:dyDescent="0.25">
      <c r="A15" s="213"/>
      <c r="B15" s="257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2" ht="19" x14ac:dyDescent="0.25">
      <c r="A16" s="268" t="s">
        <v>184</v>
      </c>
      <c r="B16" s="269"/>
      <c r="C16" s="270">
        <f>'Prévision P&amp;L &amp; CF'!C40</f>
        <v>-98</v>
      </c>
      <c r="D16" s="270">
        <f>'Prévision P&amp;L &amp; CF'!D40</f>
        <v>-72</v>
      </c>
      <c r="E16" s="270">
        <f>'Prévision P&amp;L &amp; CF'!E40</f>
        <v>-66</v>
      </c>
      <c r="F16" s="270">
        <f>'Prévision P&amp;L &amp; CF'!F40</f>
        <v>-68</v>
      </c>
      <c r="G16" s="270">
        <f>'Prévision P&amp;L &amp; CF'!G40</f>
        <v>-70</v>
      </c>
      <c r="H16" s="270">
        <f>'Prévision P&amp;L &amp; CF'!H40</f>
        <v>-72</v>
      </c>
      <c r="I16" s="270">
        <f>'Prévision P&amp;L &amp; CF'!I40</f>
        <v>-74</v>
      </c>
      <c r="J16" s="270">
        <f>'Prévision P&amp;L &amp; CF'!J40</f>
        <v>-77</v>
      </c>
      <c r="K16" s="270">
        <f>'Prévision P&amp;L &amp; CF'!K40</f>
        <v>-79</v>
      </c>
      <c r="L16" s="270">
        <f>'Prévision P&amp;L &amp; CF'!L40</f>
        <v>-81</v>
      </c>
    </row>
    <row r="17" spans="1:12" ht="19" x14ac:dyDescent="0.25">
      <c r="A17" s="213"/>
      <c r="B17" s="257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9" x14ac:dyDescent="0.25">
      <c r="A18" s="213" t="s">
        <v>129</v>
      </c>
      <c r="B18" s="257"/>
      <c r="C18" s="166">
        <f>('Prévision P&amp;L &amp; CF'!C35)</f>
        <v>11.183220000000006</v>
      </c>
      <c r="D18" s="166">
        <f>('Prévision P&amp;L &amp; CF'!D35)</f>
        <v>6.3055737000000249</v>
      </c>
      <c r="E18" s="166">
        <f>('Prévision P&amp;L &amp; CF'!E35)</f>
        <v>6.8415474644999676</v>
      </c>
      <c r="F18" s="166">
        <f>('Prévision P&amp;L &amp; CF'!F35)</f>
        <v>7.4230789989824757</v>
      </c>
      <c r="G18" s="166">
        <f>('Prévision P&amp;L &amp; CF'!G35)</f>
        <v>7.5802736130786741</v>
      </c>
      <c r="H18" s="166">
        <f>('Prévision P&amp;L &amp; CF'!H35)</f>
        <v>8.1866955021248202</v>
      </c>
      <c r="I18" s="166">
        <f>('Prévision P&amp;L &amp; CF'!I35)</f>
        <v>8.2890291959014348</v>
      </c>
      <c r="J18" s="166">
        <f>('Prévision P&amp;L &amp; CF'!J35)</f>
        <v>8.9107063855940964</v>
      </c>
      <c r="K18" s="166">
        <f>('Prévision P&amp;L &amp; CF'!K35)</f>
        <v>9.579009364513638</v>
      </c>
      <c r="L18" s="166">
        <f>('Prévision P&amp;L &amp; CF'!L35)</f>
        <v>10.022836798402693</v>
      </c>
    </row>
    <row r="19" spans="1:12" ht="19" x14ac:dyDescent="0.25">
      <c r="A19" s="213"/>
      <c r="B19" s="257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19" x14ac:dyDescent="0.25">
      <c r="A20" s="213" t="s">
        <v>185</v>
      </c>
      <c r="B20" s="257"/>
      <c r="C20" s="166">
        <f>C10+C14+C16+C18</f>
        <v>24.28322</v>
      </c>
      <c r="D20" s="166">
        <f t="shared" ref="D20:L20" si="3">D10+D14+D16+D18</f>
        <v>51.370573700000023</v>
      </c>
      <c r="E20" s="166">
        <f t="shared" si="3"/>
        <v>70.47804746449998</v>
      </c>
      <c r="F20" s="166">
        <f t="shared" si="3"/>
        <v>71.424628998982485</v>
      </c>
      <c r="G20" s="166">
        <f t="shared" si="3"/>
        <v>80.981358613078669</v>
      </c>
      <c r="H20" s="166">
        <f t="shared" si="3"/>
        <v>81.747455002124809</v>
      </c>
      <c r="I20" s="166">
        <f t="shared" si="3"/>
        <v>86.560560845901421</v>
      </c>
      <c r="J20" s="166">
        <f t="shared" si="3"/>
        <v>92.251778540594103</v>
      </c>
      <c r="K20" s="166">
        <f t="shared" si="3"/>
        <v>99.058759873013656</v>
      </c>
      <c r="L20" s="166">
        <f t="shared" si="3"/>
        <v>107.8016621543527</v>
      </c>
    </row>
    <row r="21" spans="1:12" ht="19" x14ac:dyDescent="0.25">
      <c r="A21" s="215"/>
      <c r="B21" s="265"/>
      <c r="C21" s="267"/>
      <c r="D21" s="267"/>
      <c r="E21" s="267"/>
      <c r="F21" s="267"/>
      <c r="G21" s="267"/>
      <c r="H21" s="267"/>
      <c r="I21" s="267"/>
      <c r="J21" s="267"/>
      <c r="K21" s="267"/>
      <c r="L21" s="267"/>
    </row>
    <row r="22" spans="1:12" ht="19" x14ac:dyDescent="0.25">
      <c r="A22" s="12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63"/>
    </row>
    <row r="23" spans="1:12" ht="19" x14ac:dyDescent="0.25">
      <c r="A23" s="7" t="s">
        <v>240</v>
      </c>
      <c r="B23" s="261"/>
      <c r="C23" s="271" t="s">
        <v>214</v>
      </c>
      <c r="D23" s="271" t="s">
        <v>215</v>
      </c>
      <c r="E23" s="271" t="s">
        <v>216</v>
      </c>
      <c r="F23" s="271" t="s">
        <v>186</v>
      </c>
      <c r="G23" s="272" t="s">
        <v>217</v>
      </c>
      <c r="H23" s="257"/>
      <c r="I23" s="257"/>
      <c r="J23" s="257"/>
      <c r="K23" s="257"/>
      <c r="L23" s="263"/>
    </row>
    <row r="24" spans="1:12" x14ac:dyDescent="0.2">
      <c r="A24" s="273"/>
      <c r="B24" s="257" t="s">
        <v>1</v>
      </c>
      <c r="C24" s="336">
        <v>0.7</v>
      </c>
      <c r="D24" s="341">
        <f>C24*(1+(1-G$32)*G$29)</f>
        <v>0.76615</v>
      </c>
      <c r="E24" s="274">
        <f>C$29</f>
        <v>0.1</v>
      </c>
      <c r="F24" s="274">
        <v>0.05</v>
      </c>
      <c r="G24" s="275">
        <f>E24+F24*D24</f>
        <v>0.1383075</v>
      </c>
      <c r="H24" s="257"/>
      <c r="I24" s="257"/>
      <c r="J24" s="257"/>
      <c r="K24" s="257"/>
      <c r="L24" s="263"/>
    </row>
    <row r="25" spans="1:12" ht="19" x14ac:dyDescent="0.25">
      <c r="A25" s="213"/>
      <c r="B25" s="257" t="s">
        <v>2</v>
      </c>
      <c r="C25" s="336">
        <v>0.9</v>
      </c>
      <c r="D25" s="341">
        <f>C25*(1+(1-G$32)*G$29)</f>
        <v>0.98505000000000009</v>
      </c>
      <c r="E25" s="274">
        <f>C$29</f>
        <v>0.1</v>
      </c>
      <c r="F25" s="274">
        <v>0.05</v>
      </c>
      <c r="G25" s="275">
        <f>E25+F25*D25</f>
        <v>0.14925250000000001</v>
      </c>
      <c r="H25" s="257"/>
      <c r="I25" s="257"/>
      <c r="J25" s="257"/>
      <c r="K25" s="257"/>
      <c r="L25" s="263"/>
    </row>
    <row r="26" spans="1:12" ht="19" x14ac:dyDescent="0.25">
      <c r="A26" s="215"/>
      <c r="B26" s="265" t="s">
        <v>3</v>
      </c>
      <c r="C26" s="337">
        <v>1.1000000000000001</v>
      </c>
      <c r="D26" s="342">
        <f>C26*(1+(1-G$32)*G$29)</f>
        <v>1.2039500000000001</v>
      </c>
      <c r="E26" s="276">
        <f>C29</f>
        <v>0.1</v>
      </c>
      <c r="F26" s="276">
        <v>0.05</v>
      </c>
      <c r="G26" s="277">
        <f>E26+F26*D26</f>
        <v>0.16019750000000002</v>
      </c>
      <c r="H26" s="257"/>
      <c r="I26" s="257"/>
      <c r="J26" s="257"/>
      <c r="K26" s="257"/>
      <c r="L26" s="263"/>
    </row>
    <row r="27" spans="1:12" ht="19" x14ac:dyDescent="0.25">
      <c r="A27" s="213"/>
      <c r="B27" s="257"/>
      <c r="C27" s="322"/>
      <c r="D27" s="322"/>
      <c r="E27" s="274"/>
      <c r="F27" s="274"/>
      <c r="G27" s="323"/>
      <c r="H27" s="257"/>
      <c r="I27" s="257"/>
      <c r="J27" s="257"/>
      <c r="K27" s="257"/>
      <c r="L27" s="263"/>
    </row>
    <row r="28" spans="1:12" ht="19" x14ac:dyDescent="0.25">
      <c r="A28" s="214"/>
      <c r="B28" s="261"/>
      <c r="C28" s="262"/>
      <c r="D28" s="260"/>
      <c r="E28" s="261"/>
      <c r="F28" s="261"/>
      <c r="G28" s="262"/>
      <c r="H28" s="257"/>
      <c r="I28" s="257"/>
      <c r="J28" s="257"/>
      <c r="K28" s="257"/>
      <c r="L28" s="263"/>
    </row>
    <row r="29" spans="1:12" ht="19" x14ac:dyDescent="0.25">
      <c r="A29" s="213" t="s">
        <v>241</v>
      </c>
      <c r="B29" s="257"/>
      <c r="C29" s="333">
        <v>0.1</v>
      </c>
      <c r="D29" s="213" t="s">
        <v>243</v>
      </c>
      <c r="E29" s="257"/>
      <c r="G29" s="334">
        <v>0.15</v>
      </c>
      <c r="H29" s="257"/>
      <c r="I29" s="257"/>
      <c r="J29" s="257"/>
      <c r="K29" s="257"/>
      <c r="L29" s="263"/>
    </row>
    <row r="30" spans="1:12" ht="19" x14ac:dyDescent="0.25">
      <c r="A30" s="215"/>
      <c r="B30" s="265"/>
      <c r="C30" s="326"/>
      <c r="D30" s="215"/>
      <c r="E30" s="265"/>
      <c r="F30" s="327"/>
      <c r="G30" s="328"/>
      <c r="H30" s="257"/>
      <c r="I30" s="257"/>
      <c r="J30" s="257"/>
      <c r="K30" s="257"/>
      <c r="L30" s="263"/>
    </row>
    <row r="31" spans="1:12" ht="19" x14ac:dyDescent="0.25">
      <c r="A31" s="213"/>
      <c r="B31" s="257"/>
      <c r="C31" s="263"/>
      <c r="D31" s="324"/>
      <c r="E31" s="257"/>
      <c r="F31" s="257"/>
      <c r="G31" s="263"/>
      <c r="H31" s="257"/>
      <c r="I31" s="257"/>
      <c r="J31" s="257"/>
      <c r="K31" s="257"/>
      <c r="L31" s="263"/>
    </row>
    <row r="32" spans="1:12" ht="19" x14ac:dyDescent="0.25">
      <c r="A32" s="213" t="s">
        <v>242</v>
      </c>
      <c r="B32" s="257"/>
      <c r="C32" s="333">
        <v>0.12</v>
      </c>
      <c r="D32" s="325" t="s">
        <v>244</v>
      </c>
      <c r="E32" s="6"/>
      <c r="G32" s="333">
        <v>0.37</v>
      </c>
      <c r="H32" s="257"/>
      <c r="I32" s="257"/>
      <c r="J32" s="257"/>
      <c r="K32" s="257"/>
      <c r="L32" s="263"/>
    </row>
    <row r="33" spans="1:12" ht="19" x14ac:dyDescent="0.25">
      <c r="A33" s="215"/>
      <c r="B33" s="265"/>
      <c r="C33" s="266"/>
      <c r="D33" s="264"/>
      <c r="E33" s="265"/>
      <c r="F33" s="265"/>
      <c r="G33" s="266"/>
      <c r="H33" s="257"/>
      <c r="I33" s="257"/>
      <c r="J33" s="257"/>
      <c r="K33" s="257"/>
      <c r="L33" s="263"/>
    </row>
    <row r="34" spans="1:12" x14ac:dyDescent="0.2">
      <c r="D34" s="257"/>
      <c r="E34" s="257"/>
      <c r="F34" s="257"/>
      <c r="G34" s="257"/>
      <c r="H34" s="257"/>
      <c r="I34" s="257"/>
      <c r="J34" s="257"/>
      <c r="K34" s="257"/>
      <c r="L34" s="263"/>
    </row>
    <row r="35" spans="1:12" ht="19" x14ac:dyDescent="0.25">
      <c r="A35" s="214"/>
      <c r="B35" s="261"/>
      <c r="C35" s="261"/>
      <c r="D35" s="261"/>
      <c r="E35" s="261"/>
      <c r="F35" s="261"/>
      <c r="G35" s="261"/>
      <c r="H35" s="261"/>
      <c r="I35" s="262"/>
      <c r="J35" s="257"/>
      <c r="K35" s="257"/>
      <c r="L35" s="263"/>
    </row>
    <row r="36" spans="1:12" ht="19" x14ac:dyDescent="0.25">
      <c r="A36" s="243" t="s">
        <v>153</v>
      </c>
      <c r="B36" s="257" t="s">
        <v>1</v>
      </c>
      <c r="C36" s="323">
        <f>(G24+$C$32*$G$29*(1-G$32))/(1+$G$29)</f>
        <v>0.13012826086956522</v>
      </c>
      <c r="D36" s="14" t="s">
        <v>187</v>
      </c>
      <c r="E36" s="257"/>
      <c r="F36" s="335">
        <v>0.05</v>
      </c>
      <c r="G36" s="14" t="s">
        <v>188</v>
      </c>
      <c r="H36" s="257"/>
      <c r="I36" s="329">
        <f>$L$20*(1+$F$36)/(C36-F$36)</f>
        <v>1412.6319981701174</v>
      </c>
      <c r="J36" s="257"/>
      <c r="K36" s="257"/>
      <c r="L36" s="263"/>
    </row>
    <row r="37" spans="1:12" ht="19" x14ac:dyDescent="0.25">
      <c r="A37" s="213"/>
      <c r="B37" s="257" t="s">
        <v>2</v>
      </c>
      <c r="C37" s="323">
        <f>(G25+$C$32*$G$29*(1-G$32))/(1+$G$29)</f>
        <v>0.13964565217391306</v>
      </c>
      <c r="D37" s="14"/>
      <c r="E37" s="257"/>
      <c r="F37" s="257"/>
      <c r="G37" s="257"/>
      <c r="H37" s="257"/>
      <c r="I37" s="329">
        <f>$L$20*(1+$F$36)/(C37-F$36)</f>
        <v>1262.6573907062188</v>
      </c>
      <c r="J37" s="257"/>
      <c r="K37" s="257"/>
      <c r="L37" s="263"/>
    </row>
    <row r="38" spans="1:12" ht="19" x14ac:dyDescent="0.25">
      <c r="A38" s="213"/>
      <c r="B38" s="257" t="s">
        <v>3</v>
      </c>
      <c r="C38" s="323">
        <f>(G26+$C$32*$G$29*(1-G$32))/(1+$G$29)</f>
        <v>0.1491630434782609</v>
      </c>
      <c r="D38" s="257"/>
      <c r="E38" s="257"/>
      <c r="F38" s="257"/>
      <c r="G38" s="257"/>
      <c r="H38" s="257"/>
      <c r="I38" s="329">
        <f>$L$20*(1+$F$36)/(C38-F$36)</f>
        <v>1141.4710691779533</v>
      </c>
      <c r="J38" s="257"/>
      <c r="K38" s="257"/>
      <c r="L38" s="263"/>
    </row>
    <row r="39" spans="1:12" ht="19" x14ac:dyDescent="0.25">
      <c r="A39" s="213"/>
      <c r="B39" s="257"/>
      <c r="C39" s="257"/>
      <c r="D39" s="257"/>
      <c r="E39" s="257"/>
      <c r="F39" s="257"/>
      <c r="G39" s="257"/>
      <c r="H39" s="257"/>
      <c r="I39" s="263"/>
      <c r="J39" s="257"/>
      <c r="K39" s="257"/>
      <c r="L39" s="263"/>
    </row>
    <row r="40" spans="1:12" ht="19" x14ac:dyDescent="0.25">
      <c r="A40" s="213" t="s">
        <v>245</v>
      </c>
      <c r="B40" s="257" t="s">
        <v>1</v>
      </c>
      <c r="C40" s="278">
        <f>NPV(C36,$C$20:$L$20)+(I36/((1+C36)^10))</f>
        <v>789.25930755076604</v>
      </c>
      <c r="D40" s="14" t="s">
        <v>189</v>
      </c>
      <c r="E40" s="257"/>
      <c r="F40" s="330">
        <f>('Prévision Bilan'!B$30-'Prévision Bilan'!B$19)</f>
        <v>-97</v>
      </c>
      <c r="G40" s="14" t="s">
        <v>190</v>
      </c>
      <c r="H40" s="257"/>
      <c r="I40" s="329">
        <f>C40-F40</f>
        <v>886.25930755076604</v>
      </c>
      <c r="J40" s="6"/>
      <c r="K40" s="257"/>
      <c r="L40" s="263"/>
    </row>
    <row r="41" spans="1:12" ht="19" x14ac:dyDescent="0.25">
      <c r="A41" s="213"/>
      <c r="B41" s="257" t="s">
        <v>2</v>
      </c>
      <c r="C41" s="278">
        <f>NPV(C37,$C$20:$L$20)+(I37/((1+C37)^10))</f>
        <v>698.71323758788481</v>
      </c>
      <c r="D41" s="257"/>
      <c r="E41" s="257"/>
      <c r="F41" s="330">
        <f>('Prévision Bilan'!B$30-'Prévision Bilan'!B$19)</f>
        <v>-97</v>
      </c>
      <c r="G41" s="257"/>
      <c r="H41" s="6"/>
      <c r="I41" s="329">
        <f>C41-F41</f>
        <v>795.71323758788481</v>
      </c>
      <c r="J41" s="257"/>
      <c r="K41" s="257"/>
      <c r="L41" s="263"/>
    </row>
    <row r="42" spans="1:12" ht="19" x14ac:dyDescent="0.25">
      <c r="A42" s="213"/>
      <c r="B42" s="257" t="s">
        <v>3</v>
      </c>
      <c r="C42" s="278">
        <f>NPV(C38,$C$20:$L$20)+(I38/((1+C38)^10))</f>
        <v>625.7771577186154</v>
      </c>
      <c r="D42" s="257"/>
      <c r="E42" s="257"/>
      <c r="F42" s="330">
        <f>('Prévision Bilan'!B$30-'Prévision Bilan'!B$19)</f>
        <v>-97</v>
      </c>
      <c r="G42" s="257"/>
      <c r="H42" s="257"/>
      <c r="I42" s="329">
        <f>C42-F42</f>
        <v>722.7771577186154</v>
      </c>
      <c r="J42" s="257"/>
      <c r="K42" s="257"/>
      <c r="L42" s="263"/>
    </row>
    <row r="43" spans="1:12" ht="19" x14ac:dyDescent="0.25">
      <c r="A43" s="215"/>
      <c r="B43" s="265"/>
      <c r="C43" s="279"/>
      <c r="D43" s="265"/>
      <c r="E43" s="265"/>
      <c r="F43" s="331"/>
      <c r="G43" s="265"/>
      <c r="H43" s="265"/>
      <c r="I43" s="332"/>
      <c r="J43" s="257"/>
      <c r="K43" s="257"/>
      <c r="L43" s="263"/>
    </row>
    <row r="44" spans="1:12" ht="19" x14ac:dyDescent="0.25">
      <c r="A44" s="215"/>
      <c r="B44" s="265"/>
      <c r="C44" s="279"/>
      <c r="D44" s="265"/>
      <c r="E44" s="265"/>
      <c r="F44" s="280"/>
      <c r="G44" s="265"/>
      <c r="H44" s="265"/>
      <c r="I44" s="279"/>
      <c r="J44" s="257"/>
      <c r="K44" s="257"/>
      <c r="L44" s="263"/>
    </row>
    <row r="45" spans="1:12" ht="19" x14ac:dyDescent="0.25">
      <c r="A45" s="214" t="s">
        <v>80</v>
      </c>
      <c r="B45" s="260"/>
      <c r="C45" s="261"/>
      <c r="D45" s="261"/>
      <c r="E45" s="262"/>
      <c r="F45" s="261"/>
      <c r="G45" s="261"/>
      <c r="H45" s="261"/>
      <c r="I45" s="262"/>
      <c r="J45" s="257"/>
      <c r="K45" s="257"/>
      <c r="L45" s="263"/>
    </row>
    <row r="46" spans="1:12" ht="19" x14ac:dyDescent="0.25">
      <c r="A46" s="213"/>
      <c r="B46" s="12" t="s">
        <v>30</v>
      </c>
      <c r="C46" s="257"/>
      <c r="D46" s="257"/>
      <c r="E46" s="263"/>
      <c r="F46" s="257"/>
      <c r="G46" s="257"/>
      <c r="H46" s="257"/>
      <c r="I46" s="263"/>
      <c r="J46" s="257"/>
      <c r="K46" s="257"/>
      <c r="L46" s="263"/>
    </row>
    <row r="47" spans="1:12" ht="19" x14ac:dyDescent="0.25">
      <c r="A47" s="213"/>
      <c r="B47" s="264"/>
      <c r="C47" s="265"/>
      <c r="D47" s="265"/>
      <c r="E47" s="266"/>
      <c r="F47" s="257"/>
      <c r="G47" s="257"/>
      <c r="H47" s="257"/>
      <c r="I47" s="263"/>
      <c r="J47" s="257"/>
      <c r="K47" s="257"/>
      <c r="L47" s="263"/>
    </row>
    <row r="48" spans="1:12" ht="19" x14ac:dyDescent="0.25">
      <c r="A48" s="213"/>
      <c r="B48" s="257"/>
      <c r="C48" s="257"/>
      <c r="D48" s="257"/>
      <c r="E48" s="257"/>
      <c r="F48" s="257"/>
      <c r="G48" s="257"/>
      <c r="H48" s="257"/>
      <c r="I48" s="263"/>
      <c r="J48" s="257"/>
      <c r="K48" s="257"/>
      <c r="L48" s="263"/>
    </row>
    <row r="49" spans="1:12" ht="19" x14ac:dyDescent="0.25">
      <c r="A49" s="213" t="s">
        <v>246</v>
      </c>
      <c r="B49" s="257" t="s">
        <v>1</v>
      </c>
      <c r="C49" s="278">
        <f>-'Prévision P&amp;L &amp; CF'!L$46*(1+F$36)/(G24-F$36)</f>
        <v>1201.659069698477</v>
      </c>
      <c r="D49" s="14" t="s">
        <v>191</v>
      </c>
      <c r="E49" s="257"/>
      <c r="F49" s="278">
        <f>C49/((1+G24)^10)</f>
        <v>328.9919682995897</v>
      </c>
      <c r="G49" s="14" t="s">
        <v>190</v>
      </c>
      <c r="I49" s="329">
        <f>F49-NPV(G24,'Prévision P&amp;L &amp; CF'!C$46:L$46)</f>
        <v>670.35890808708564</v>
      </c>
      <c r="L49" s="263"/>
    </row>
    <row r="50" spans="1:12" ht="19" x14ac:dyDescent="0.25">
      <c r="A50" s="213"/>
      <c r="B50" s="257" t="s">
        <v>2</v>
      </c>
      <c r="C50" s="278">
        <f>-'Prévision P&amp;L &amp; CF'!L$46*(1+F$36)/(G25-F$36)</f>
        <v>1069.1469564736228</v>
      </c>
      <c r="D50" s="257"/>
      <c r="E50" s="257"/>
      <c r="F50" s="278">
        <f>C50/((1+G25)^10)</f>
        <v>266.00073241488167</v>
      </c>
      <c r="G50" s="14"/>
      <c r="I50" s="329">
        <f>F50-NPV(G25,'Prévision P&amp;L &amp; CF'!C$46:L$46)</f>
        <v>590.97195134673666</v>
      </c>
      <c r="L50" s="263"/>
    </row>
    <row r="51" spans="1:12" ht="19" x14ac:dyDescent="0.25">
      <c r="A51" s="213"/>
      <c r="B51" s="257" t="s">
        <v>3</v>
      </c>
      <c r="C51" s="278">
        <f>-'Prévision P&amp;L &amp; CF'!L$46*(1+F$36)/(G26-F$36)</f>
        <v>962.95749265998074</v>
      </c>
      <c r="D51" s="257"/>
      <c r="E51" s="257"/>
      <c r="F51" s="278">
        <f>C51/((1+G26)^10)</f>
        <v>217.91537030754444</v>
      </c>
      <c r="G51" s="14"/>
      <c r="I51" s="329">
        <f>F51-NPV(G26,'Prévision P&amp;L &amp; CF'!C$46:L$46)</f>
        <v>527.64873301587113</v>
      </c>
      <c r="L51" s="263"/>
    </row>
    <row r="52" spans="1:12" ht="19" x14ac:dyDescent="0.25">
      <c r="A52" s="215"/>
      <c r="B52" s="265"/>
      <c r="C52" s="265"/>
      <c r="D52" s="265"/>
      <c r="E52" s="265"/>
      <c r="F52" s="265"/>
      <c r="G52" s="265"/>
      <c r="H52" s="265"/>
      <c r="I52" s="266"/>
      <c r="J52" s="265"/>
      <c r="K52" s="265"/>
      <c r="L52" s="266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Graphiques</vt:lpstr>
      </vt:variant>
      <vt:variant>
        <vt:i4>5</vt:i4>
      </vt:variant>
    </vt:vector>
  </HeadingPairs>
  <TitlesOfParts>
    <vt:vector size="21" baseType="lpstr">
      <vt:lpstr>Présentation</vt:lpstr>
      <vt:lpstr>Historique P&amp;L</vt:lpstr>
      <vt:lpstr>Historique Bilan</vt:lpstr>
      <vt:lpstr>Analyse financière</vt:lpstr>
      <vt:lpstr>Prévision CA 5 ans</vt:lpstr>
      <vt:lpstr>Prévision P&amp;L &amp; CF</vt:lpstr>
      <vt:lpstr>Prévision Bilan</vt:lpstr>
      <vt:lpstr>Taux</vt:lpstr>
      <vt:lpstr>Evaluation</vt:lpstr>
      <vt:lpstr>Structuration</vt:lpstr>
      <vt:lpstr>Prévision Holding</vt:lpstr>
      <vt:lpstr>Obligation subordonnée</vt:lpstr>
      <vt:lpstr>Obligation remboursabe</vt:lpstr>
      <vt:lpstr>Actions ordinaires</vt:lpstr>
      <vt:lpstr>Global</vt:lpstr>
      <vt:lpstr>Dénouement</vt:lpstr>
      <vt:lpstr>EBITDA - Capex  GR</vt:lpstr>
      <vt:lpstr>CCC historique GR</vt:lpstr>
      <vt:lpstr>ROCE historique GR</vt:lpstr>
      <vt:lpstr>Prévision P&amp;L &amp; CF GR</vt:lpstr>
      <vt:lpstr>Prévision CA &amp; CE 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JACQUET</dc:creator>
  <cp:lastModifiedBy>Dominique Jacquet</cp:lastModifiedBy>
  <cp:lastPrinted>2008-05-02T12:42:11Z</cp:lastPrinted>
  <dcterms:created xsi:type="dcterms:W3CDTF">2007-12-05T20:08:23Z</dcterms:created>
  <dcterms:modified xsi:type="dcterms:W3CDTF">2024-01-22T11:06:57Z</dcterms:modified>
</cp:coreProperties>
</file>