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omments1.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Dominique/Desktop/Ecademy/ABS:OCP/Advisory/Allocation ressources/Rédaction procédure/2ème version/"/>
    </mc:Choice>
  </mc:AlternateContent>
  <xr:revisionPtr revIDLastSave="0" documentId="13_ncr:1_{63DAFD37-0417-A348-9FC3-A3FCBDD4F48D}" xr6:coauthVersionLast="47" xr6:coauthVersionMax="47" xr10:uidLastSave="{00000000-0000-0000-0000-000000000000}"/>
  <bookViews>
    <workbookView xWindow="0" yWindow="700" windowWidth="27040" windowHeight="16180" tabRatio="920" xr2:uid="{ED0B2003-DD6C-5941-8C6A-887778C3884E}"/>
  </bookViews>
  <sheets>
    <sheet name="Présentation" sheetId="13" r:id="rId1"/>
    <sheet name="Situation" sheetId="3" r:id="rId2"/>
    <sheet name="Calcul des coûts" sheetId="7" r:id="rId3"/>
    <sheet name="Coromandel" sheetId="4" r:id="rId4"/>
    <sheet name="Beta Coromandel" sheetId="5" r:id="rId5"/>
    <sheet name="CMPC" sheetId="2" r:id="rId6"/>
    <sheet name="Business plan" sheetId="6" r:id="rId7"/>
    <sheet name="BP¨500 pleine capacité" sheetId="8" r:id="rId8"/>
    <sheet name="BP¨500 capacité réduite" sheetId="9" r:id="rId9"/>
    <sheet name="Business Plan par étages" sheetId="10" r:id="rId10"/>
    <sheet name="Consolidation" sheetId="12" r:id="rId11"/>
  </sheets>
  <definedNames>
    <definedName name="CAPEX">Situation!$E$37</definedName>
    <definedName name="CFX">Situation!$E$34</definedName>
    <definedName name="CRVU">'Calcul des coûts'!$C$17</definedName>
    <definedName name="INFCR">'Business plan'!$L$150</definedName>
    <definedName name="INFI">'Calcul des coûts'!$C$35</definedName>
    <definedName name="INFM">'Calcul des coûts'!$C$33</definedName>
    <definedName name="INFPV">'Business plan'!$L$149</definedName>
    <definedName name="INTG">Consolidation!$C$8</definedName>
    <definedName name="INTGIM">Consolidation!$C$9</definedName>
    <definedName name="MEE">Consolidation!$C$7</definedName>
    <definedName name="PVU">'Calcul des coûts'!$C$20</definedName>
    <definedName name="TIS">Situation!$E$40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34" i="2" l="1"/>
  <c r="B26" i="2"/>
  <c r="B22" i="2"/>
  <c r="C22" i="7"/>
  <c r="D92" i="6"/>
  <c r="E92" i="6" s="1"/>
  <c r="F92" i="6" s="1"/>
  <c r="G92" i="6" s="1"/>
  <c r="H92" i="6" s="1"/>
  <c r="I92" i="6" s="1"/>
  <c r="J92" i="6" s="1"/>
  <c r="K92" i="6" s="1"/>
  <c r="L92" i="6" s="1"/>
  <c r="C6" i="10" l="1"/>
  <c r="D19" i="6" l="1"/>
  <c r="L113" i="10" l="1"/>
  <c r="B19" i="12" l="1"/>
  <c r="C16" i="2" l="1"/>
  <c r="L114" i="10"/>
  <c r="E43" i="10"/>
  <c r="C43" i="10"/>
  <c r="AA29" i="4" l="1"/>
  <c r="C30" i="2" l="1"/>
  <c r="B12" i="2"/>
  <c r="B126" i="12"/>
  <c r="D112" i="12"/>
  <c r="E112" i="12" s="1"/>
  <c r="F112" i="12" s="1"/>
  <c r="G112" i="12" s="1"/>
  <c r="H112" i="12" s="1"/>
  <c r="I112" i="12" s="1"/>
  <c r="J112" i="12" s="1"/>
  <c r="K112" i="12" s="1"/>
  <c r="L112" i="12" s="1"/>
  <c r="D92" i="12"/>
  <c r="E92" i="12" s="1"/>
  <c r="F92" i="12" s="1"/>
  <c r="G92" i="12" s="1"/>
  <c r="H92" i="12" s="1"/>
  <c r="I92" i="12" s="1"/>
  <c r="J92" i="12" s="1"/>
  <c r="K92" i="12" s="1"/>
  <c r="L92" i="12" s="1"/>
  <c r="B86" i="12"/>
  <c r="D72" i="12"/>
  <c r="E72" i="12" s="1"/>
  <c r="F72" i="12" s="1"/>
  <c r="G72" i="12" s="1"/>
  <c r="H72" i="12" s="1"/>
  <c r="I72" i="12" s="1"/>
  <c r="J72" i="12" s="1"/>
  <c r="K72" i="12" s="1"/>
  <c r="L72" i="12" s="1"/>
  <c r="D55" i="12"/>
  <c r="E55" i="12" s="1"/>
  <c r="F55" i="12" s="1"/>
  <c r="G55" i="12" s="1"/>
  <c r="H55" i="12" s="1"/>
  <c r="I55" i="12" s="1"/>
  <c r="J55" i="12" s="1"/>
  <c r="K55" i="12" s="1"/>
  <c r="L55" i="12" s="1"/>
  <c r="D35" i="12"/>
  <c r="E35" i="12" s="1"/>
  <c r="F35" i="12" s="1"/>
  <c r="G35" i="12" s="1"/>
  <c r="H35" i="12" s="1"/>
  <c r="I35" i="12" s="1"/>
  <c r="J35" i="12" s="1"/>
  <c r="K35" i="12" s="1"/>
  <c r="L35" i="12" s="1"/>
  <c r="D27" i="12"/>
  <c r="E27" i="12" s="1"/>
  <c r="F27" i="12" s="1"/>
  <c r="G27" i="12" s="1"/>
  <c r="H27" i="12" s="1"/>
  <c r="I27" i="12" s="1"/>
  <c r="J27" i="12" s="1"/>
  <c r="K27" i="12" s="1"/>
  <c r="L27" i="12" s="1"/>
  <c r="B45" i="12"/>
  <c r="B49" i="12" s="1"/>
  <c r="B21" i="12"/>
  <c r="B25" i="12" s="1"/>
  <c r="D15" i="12" l="1"/>
  <c r="E15" i="12" s="1"/>
  <c r="F15" i="12" s="1"/>
  <c r="G15" i="12" s="1"/>
  <c r="H15" i="12" s="1"/>
  <c r="I15" i="12" s="1"/>
  <c r="J15" i="12" s="1"/>
  <c r="K15" i="12" s="1"/>
  <c r="L15" i="12" s="1"/>
  <c r="D68" i="6" l="1"/>
  <c r="E68" i="6" s="1"/>
  <c r="F68" i="6" s="1"/>
  <c r="G68" i="6" s="1"/>
  <c r="H68" i="6" s="1"/>
  <c r="I68" i="6" s="1"/>
  <c r="J68" i="6" s="1"/>
  <c r="K68" i="6" s="1"/>
  <c r="L68" i="6" s="1"/>
  <c r="D76" i="6"/>
  <c r="E76" i="6" s="1"/>
  <c r="F76" i="6" s="1"/>
  <c r="G76" i="6" s="1"/>
  <c r="H76" i="6" s="1"/>
  <c r="I76" i="6" s="1"/>
  <c r="J76" i="6" s="1"/>
  <c r="K76" i="6" s="1"/>
  <c r="L76" i="6" s="1"/>
  <c r="H11" i="7" l="1"/>
  <c r="F11" i="7"/>
  <c r="M8" i="7"/>
  <c r="J8" i="7"/>
  <c r="H8" i="7"/>
  <c r="F8" i="7"/>
  <c r="M5" i="7"/>
  <c r="J5" i="7"/>
  <c r="H5" i="7"/>
  <c r="F5" i="7"/>
  <c r="AA30" i="4" l="1"/>
  <c r="C8" i="7"/>
  <c r="L147" i="6"/>
  <c r="L148" i="6"/>
  <c r="D109" i="10"/>
  <c r="F43" i="10"/>
  <c r="G43" i="10"/>
  <c r="H43" i="10"/>
  <c r="I43" i="10"/>
  <c r="J43" i="10"/>
  <c r="K43" i="10"/>
  <c r="L43" i="10"/>
  <c r="C99" i="10"/>
  <c r="D99" i="10" s="1"/>
  <c r="E99" i="10" s="1"/>
  <c r="F99" i="10" s="1"/>
  <c r="G99" i="10" s="1"/>
  <c r="H99" i="10" s="1"/>
  <c r="I99" i="10" s="1"/>
  <c r="J99" i="10" s="1"/>
  <c r="K99" i="10" s="1"/>
  <c r="L99" i="10" s="1"/>
  <c r="L65" i="10"/>
  <c r="B57" i="10"/>
  <c r="B30" i="10"/>
  <c r="D28" i="10"/>
  <c r="E28" i="10" s="1"/>
  <c r="F28" i="10" s="1"/>
  <c r="G28" i="10" s="1"/>
  <c r="F24" i="10"/>
  <c r="I14" i="10"/>
  <c r="C39" i="10" s="1"/>
  <c r="D11" i="10"/>
  <c r="E11" i="10" s="1"/>
  <c r="F11" i="10" s="1"/>
  <c r="G11" i="10" s="1"/>
  <c r="H11" i="10" s="1"/>
  <c r="I11" i="10" s="1"/>
  <c r="J11" i="10" s="1"/>
  <c r="K11" i="10" s="1"/>
  <c r="L11" i="10" s="1"/>
  <c r="B62" i="10"/>
  <c r="B65" i="10" s="1"/>
  <c r="L112" i="9"/>
  <c r="L113" i="9" s="1"/>
  <c r="C98" i="9"/>
  <c r="D98" i="9" s="1"/>
  <c r="E98" i="9" s="1"/>
  <c r="F98" i="9" s="1"/>
  <c r="G98" i="9" s="1"/>
  <c r="H98" i="9" s="1"/>
  <c r="I98" i="9" s="1"/>
  <c r="J98" i="9" s="1"/>
  <c r="K98" i="9" s="1"/>
  <c r="L98" i="9" s="1"/>
  <c r="L64" i="9"/>
  <c r="B56" i="9"/>
  <c r="G42" i="9"/>
  <c r="G103" i="9" s="1"/>
  <c r="B29" i="9"/>
  <c r="D27" i="9"/>
  <c r="E27" i="9" s="1"/>
  <c r="F27" i="9" s="1"/>
  <c r="G27" i="9" s="1"/>
  <c r="H27" i="9" s="1"/>
  <c r="I27" i="9" s="1"/>
  <c r="F23" i="9"/>
  <c r="I13" i="9"/>
  <c r="G38" i="9" s="1"/>
  <c r="D10" i="9"/>
  <c r="E10" i="9" s="1"/>
  <c r="F10" i="9" s="1"/>
  <c r="G10" i="9" s="1"/>
  <c r="H10" i="9" s="1"/>
  <c r="I10" i="9" s="1"/>
  <c r="J10" i="9" s="1"/>
  <c r="K10" i="9" s="1"/>
  <c r="L10" i="9" s="1"/>
  <c r="H42" i="9"/>
  <c r="H103" i="9" s="1"/>
  <c r="L112" i="8"/>
  <c r="L113" i="8" s="1"/>
  <c r="C98" i="8"/>
  <c r="D98" i="8" s="1"/>
  <c r="E98" i="8" s="1"/>
  <c r="F98" i="8" s="1"/>
  <c r="G98" i="8" s="1"/>
  <c r="H98" i="8" s="1"/>
  <c r="I98" i="8" s="1"/>
  <c r="J98" i="8" s="1"/>
  <c r="K98" i="8" s="1"/>
  <c r="L98" i="8" s="1"/>
  <c r="L64" i="8"/>
  <c r="B56" i="8"/>
  <c r="B29" i="8"/>
  <c r="D27" i="8"/>
  <c r="E27" i="8" s="1"/>
  <c r="F27" i="8" s="1"/>
  <c r="F23" i="8"/>
  <c r="I13" i="8"/>
  <c r="C38" i="8" s="1"/>
  <c r="D10" i="8"/>
  <c r="E10" i="8" s="1"/>
  <c r="F10" i="8" s="1"/>
  <c r="G10" i="8" s="1"/>
  <c r="H10" i="8" s="1"/>
  <c r="I10" i="8" s="1"/>
  <c r="J10" i="8" s="1"/>
  <c r="K10" i="8" s="1"/>
  <c r="L10" i="8" s="1"/>
  <c r="C6" i="8"/>
  <c r="G104" i="9" l="1"/>
  <c r="H104" i="9"/>
  <c r="H28" i="10"/>
  <c r="I28" i="10" s="1"/>
  <c r="G39" i="10"/>
  <c r="G104" i="10"/>
  <c r="G105" i="10" s="1"/>
  <c r="F39" i="10"/>
  <c r="K104" i="10"/>
  <c r="K105" i="10" s="1"/>
  <c r="L104" i="10"/>
  <c r="L105" i="10" s="1"/>
  <c r="B109" i="10"/>
  <c r="I104" i="10"/>
  <c r="I105" i="10" s="1"/>
  <c r="J104" i="10"/>
  <c r="J105" i="10" s="1"/>
  <c r="F104" i="10"/>
  <c r="F105" i="10" s="1"/>
  <c r="J28" i="10"/>
  <c r="I39" i="10"/>
  <c r="E39" i="10"/>
  <c r="D39" i="10"/>
  <c r="H39" i="10"/>
  <c r="C62" i="10"/>
  <c r="H104" i="10"/>
  <c r="H105" i="10" s="1"/>
  <c r="D43" i="10"/>
  <c r="D104" i="10" s="1"/>
  <c r="D105" i="10" s="1"/>
  <c r="E104" i="10"/>
  <c r="E105" i="10" s="1"/>
  <c r="J27" i="9"/>
  <c r="J38" i="9" s="1"/>
  <c r="I42" i="9"/>
  <c r="I103" i="9" s="1"/>
  <c r="I104" i="9" s="1"/>
  <c r="J42" i="9"/>
  <c r="J103" i="9" s="1"/>
  <c r="J104" i="9" s="1"/>
  <c r="E38" i="9"/>
  <c r="D38" i="9"/>
  <c r="C38" i="9"/>
  <c r="F38" i="9"/>
  <c r="B61" i="8"/>
  <c r="B64" i="8" s="1"/>
  <c r="L42" i="8"/>
  <c r="L103" i="8" s="1"/>
  <c r="L104" i="8" s="1"/>
  <c r="K42" i="8"/>
  <c r="K103" i="8" s="1"/>
  <c r="K104" i="8" s="1"/>
  <c r="J42" i="8"/>
  <c r="J103" i="8" s="1"/>
  <c r="J104" i="8" s="1"/>
  <c r="I42" i="8"/>
  <c r="I103" i="8" s="1"/>
  <c r="I104" i="8" s="1"/>
  <c r="H38" i="9"/>
  <c r="I38" i="9"/>
  <c r="B61" i="9"/>
  <c r="E42" i="9"/>
  <c r="E103" i="9" s="1"/>
  <c r="E104" i="9" s="1"/>
  <c r="D42" i="9"/>
  <c r="D103" i="9" s="1"/>
  <c r="D104" i="9" s="1"/>
  <c r="K42" i="9"/>
  <c r="K103" i="9" s="1"/>
  <c r="K104" i="9" s="1"/>
  <c r="C42" i="9"/>
  <c r="B108" i="9"/>
  <c r="F42" i="9"/>
  <c r="F103" i="9" s="1"/>
  <c r="F104" i="9" s="1"/>
  <c r="L42" i="9"/>
  <c r="L103" i="9" s="1"/>
  <c r="L104" i="9" s="1"/>
  <c r="F42" i="8"/>
  <c r="F103" i="8" s="1"/>
  <c r="F104" i="8" s="1"/>
  <c r="G42" i="8"/>
  <c r="G103" i="8" s="1"/>
  <c r="G104" i="8" s="1"/>
  <c r="E38" i="8"/>
  <c r="D38" i="8"/>
  <c r="F38" i="8"/>
  <c r="G38" i="8"/>
  <c r="G27" i="8"/>
  <c r="H42" i="8"/>
  <c r="H103" i="8" s="1"/>
  <c r="H104" i="8" s="1"/>
  <c r="B108" i="8"/>
  <c r="C42" i="8"/>
  <c r="D42" i="8"/>
  <c r="D103" i="8" s="1"/>
  <c r="D104" i="8" s="1"/>
  <c r="E42" i="8"/>
  <c r="E103" i="8" s="1"/>
  <c r="E104" i="8" s="1"/>
  <c r="C63" i="10" l="1"/>
  <c r="D63" i="10" s="1"/>
  <c r="C104" i="10"/>
  <c r="C105" i="10" s="1"/>
  <c r="D62" i="10"/>
  <c r="E62" i="10" s="1"/>
  <c r="K28" i="10"/>
  <c r="J39" i="10"/>
  <c r="C62" i="9"/>
  <c r="D62" i="9" s="1"/>
  <c r="E62" i="9" s="1"/>
  <c r="F62" i="9" s="1"/>
  <c r="G62" i="9" s="1"/>
  <c r="H62" i="9" s="1"/>
  <c r="I62" i="9" s="1"/>
  <c r="J62" i="9" s="1"/>
  <c r="K62" i="9" s="1"/>
  <c r="C103" i="9"/>
  <c r="C104" i="9" s="1"/>
  <c r="B64" i="9"/>
  <c r="C61" i="9"/>
  <c r="K27" i="9"/>
  <c r="C61" i="8"/>
  <c r="C62" i="8"/>
  <c r="D62" i="8" s="1"/>
  <c r="E62" i="8" s="1"/>
  <c r="F62" i="8" s="1"/>
  <c r="G62" i="8" s="1"/>
  <c r="H62" i="8" s="1"/>
  <c r="I62" i="8" s="1"/>
  <c r="J62" i="8" s="1"/>
  <c r="K62" i="8" s="1"/>
  <c r="C103" i="8"/>
  <c r="C104" i="8" s="1"/>
  <c r="D61" i="8"/>
  <c r="H27" i="8"/>
  <c r="E63" i="10" l="1"/>
  <c r="F63" i="10" s="1"/>
  <c r="G63" i="10" s="1"/>
  <c r="H63" i="10" s="1"/>
  <c r="I63" i="10" s="1"/>
  <c r="J63" i="10" s="1"/>
  <c r="K63" i="10" s="1"/>
  <c r="D65" i="10"/>
  <c r="C65" i="10"/>
  <c r="L28" i="10"/>
  <c r="K39" i="10"/>
  <c r="C64" i="9"/>
  <c r="D61" i="9"/>
  <c r="L27" i="9"/>
  <c r="K38" i="9"/>
  <c r="E61" i="8"/>
  <c r="D64" i="8"/>
  <c r="I27" i="8"/>
  <c r="H38" i="8"/>
  <c r="C64" i="8"/>
  <c r="L39" i="10" l="1"/>
  <c r="E65" i="10"/>
  <c r="F62" i="10"/>
  <c r="L38" i="9"/>
  <c r="D64" i="9"/>
  <c r="E61" i="9"/>
  <c r="F61" i="8"/>
  <c r="E64" i="8"/>
  <c r="J27" i="8"/>
  <c r="I38" i="8"/>
  <c r="F65" i="10" l="1"/>
  <c r="G62" i="10"/>
  <c r="F61" i="9"/>
  <c r="E64" i="9"/>
  <c r="F64" i="8"/>
  <c r="G61" i="8"/>
  <c r="K27" i="8"/>
  <c r="J38" i="8"/>
  <c r="H62" i="10" l="1"/>
  <c r="G65" i="10"/>
  <c r="F64" i="9"/>
  <c r="G61" i="9"/>
  <c r="G64" i="8"/>
  <c r="H61" i="8"/>
  <c r="L27" i="8"/>
  <c r="K38" i="8"/>
  <c r="I62" i="10" l="1"/>
  <c r="H65" i="10"/>
  <c r="H61" i="9"/>
  <c r="G64" i="9"/>
  <c r="I61" i="8"/>
  <c r="H64" i="8"/>
  <c r="L38" i="8"/>
  <c r="J62" i="10" l="1"/>
  <c r="I65" i="10"/>
  <c r="I61" i="9"/>
  <c r="H64" i="9"/>
  <c r="J61" i="8"/>
  <c r="I64" i="8"/>
  <c r="K62" i="10" l="1"/>
  <c r="K65" i="10" s="1"/>
  <c r="J65" i="10"/>
  <c r="J61" i="9"/>
  <c r="I64" i="9"/>
  <c r="K61" i="8"/>
  <c r="K64" i="8" s="1"/>
  <c r="J64" i="8"/>
  <c r="K61" i="9" l="1"/>
  <c r="K64" i="9" s="1"/>
  <c r="J64" i="9"/>
  <c r="C26" i="7" l="1"/>
  <c r="C25" i="7"/>
  <c r="C20" i="7"/>
  <c r="C11" i="7"/>
  <c r="C5" i="7"/>
  <c r="C13" i="7" l="1"/>
  <c r="C28" i="7"/>
  <c r="L72" i="10"/>
  <c r="D13" i="8"/>
  <c r="C30" i="8" s="1"/>
  <c r="D14" i="10"/>
  <c r="D13" i="9"/>
  <c r="C15" i="7"/>
  <c r="C17" i="7" l="1"/>
  <c r="G13" i="9" s="1"/>
  <c r="E30" i="9"/>
  <c r="H30" i="9"/>
  <c r="F30" i="9"/>
  <c r="C30" i="9"/>
  <c r="D30" i="9"/>
  <c r="J30" i="9"/>
  <c r="G30" i="9"/>
  <c r="I30" i="9"/>
  <c r="K30" i="9"/>
  <c r="L30" i="9"/>
  <c r="H31" i="10"/>
  <c r="F31" i="10"/>
  <c r="E31" i="10"/>
  <c r="D31" i="10"/>
  <c r="C31" i="10"/>
  <c r="I31" i="10"/>
  <c r="G31" i="10"/>
  <c r="J31" i="10"/>
  <c r="K31" i="10"/>
  <c r="L31" i="10"/>
  <c r="E30" i="8"/>
  <c r="D30" i="8"/>
  <c r="F30" i="8"/>
  <c r="G30" i="8"/>
  <c r="H30" i="8"/>
  <c r="I30" i="8"/>
  <c r="J30" i="8"/>
  <c r="K30" i="8"/>
  <c r="L30" i="8"/>
  <c r="G13" i="8"/>
  <c r="C33" i="8" s="1"/>
  <c r="C34" i="8" s="1"/>
  <c r="G14" i="10"/>
  <c r="L74" i="10"/>
  <c r="L71" i="9"/>
  <c r="L71" i="8"/>
  <c r="B72" i="6"/>
  <c r="C20" i="2"/>
  <c r="D35" i="6"/>
  <c r="D18" i="6"/>
  <c r="C43" i="6" s="1"/>
  <c r="D12" i="6"/>
  <c r="D21" i="6"/>
  <c r="F29" i="3"/>
  <c r="F30" i="3"/>
  <c r="E8" i="6" s="1"/>
  <c r="F31" i="3"/>
  <c r="F8" i="6" s="1"/>
  <c r="G8" i="6" s="1"/>
  <c r="H8" i="6" s="1"/>
  <c r="I8" i="6" s="1"/>
  <c r="J8" i="6" s="1"/>
  <c r="K8" i="6" s="1"/>
  <c r="L8" i="6" s="1"/>
  <c r="F28" i="3"/>
  <c r="B59" i="12" l="1"/>
  <c r="B63" i="12" s="1"/>
  <c r="B96" i="12"/>
  <c r="C22" i="2"/>
  <c r="C26" i="2" s="1"/>
  <c r="C30" i="7"/>
  <c r="C8" i="6"/>
  <c r="C12" i="10"/>
  <c r="C30" i="10" s="1"/>
  <c r="C11" i="9"/>
  <c r="C29" i="9" s="1"/>
  <c r="C11" i="8"/>
  <c r="C29" i="8" s="1"/>
  <c r="L73" i="8"/>
  <c r="D8" i="6"/>
  <c r="D11" i="8"/>
  <c r="D12" i="10"/>
  <c r="D30" i="10" s="1"/>
  <c r="D11" i="9"/>
  <c r="L73" i="9"/>
  <c r="L80" i="10"/>
  <c r="L84" i="10"/>
  <c r="H34" i="10"/>
  <c r="H35" i="10" s="1"/>
  <c r="G34" i="10"/>
  <c r="G35" i="10" s="1"/>
  <c r="I34" i="10"/>
  <c r="I35" i="10" s="1"/>
  <c r="F34" i="10"/>
  <c r="F35" i="10" s="1"/>
  <c r="E34" i="10"/>
  <c r="E35" i="10" s="1"/>
  <c r="D34" i="10"/>
  <c r="D35" i="10" s="1"/>
  <c r="C34" i="10"/>
  <c r="C35" i="10" s="1"/>
  <c r="J34" i="10"/>
  <c r="J35" i="10" s="1"/>
  <c r="K34" i="10"/>
  <c r="K35" i="10" s="1"/>
  <c r="L34" i="10"/>
  <c r="L35" i="10" s="1"/>
  <c r="F12" i="10"/>
  <c r="G33" i="9"/>
  <c r="G34" i="9" s="1"/>
  <c r="C33" i="9"/>
  <c r="C34" i="9" s="1"/>
  <c r="E33" i="9"/>
  <c r="E34" i="9" s="1"/>
  <c r="F33" i="9"/>
  <c r="F34" i="9" s="1"/>
  <c r="D33" i="9"/>
  <c r="D34" i="9" s="1"/>
  <c r="H33" i="9"/>
  <c r="H34" i="9" s="1"/>
  <c r="I33" i="9"/>
  <c r="I34" i="9" s="1"/>
  <c r="J33" i="9"/>
  <c r="J34" i="9" s="1"/>
  <c r="K33" i="9"/>
  <c r="K34" i="9" s="1"/>
  <c r="L33" i="9"/>
  <c r="L34" i="9" s="1"/>
  <c r="F33" i="8"/>
  <c r="F34" i="8" s="1"/>
  <c r="E33" i="8"/>
  <c r="E34" i="8" s="1"/>
  <c r="D33" i="8"/>
  <c r="D34" i="8" s="1"/>
  <c r="G33" i="8"/>
  <c r="G34" i="8" s="1"/>
  <c r="H33" i="8"/>
  <c r="H34" i="8" s="1"/>
  <c r="I33" i="8"/>
  <c r="I34" i="8" s="1"/>
  <c r="J33" i="8"/>
  <c r="J34" i="8" s="1"/>
  <c r="K33" i="8"/>
  <c r="K34" i="8" s="1"/>
  <c r="L33" i="8"/>
  <c r="L34" i="8" s="1"/>
  <c r="E12" i="10"/>
  <c r="E30" i="10" s="1"/>
  <c r="B103" i="12" l="1"/>
  <c r="B99" i="12"/>
  <c r="B98" i="12" s="1"/>
  <c r="B68" i="10"/>
  <c r="B67" i="10"/>
  <c r="B70" i="10"/>
  <c r="B69" i="8"/>
  <c r="B67" i="8"/>
  <c r="B66" i="8"/>
  <c r="C37" i="10"/>
  <c r="C41" i="10" s="1"/>
  <c r="D32" i="10"/>
  <c r="C69" i="10" s="1"/>
  <c r="C67" i="10"/>
  <c r="C68" i="10"/>
  <c r="C70" i="10"/>
  <c r="D67" i="10"/>
  <c r="D68" i="10"/>
  <c r="D70" i="10"/>
  <c r="C31" i="9"/>
  <c r="B67" i="9"/>
  <c r="B69" i="9"/>
  <c r="B66" i="9"/>
  <c r="C36" i="8"/>
  <c r="C40" i="8" s="1"/>
  <c r="D37" i="10"/>
  <c r="D41" i="10" s="1"/>
  <c r="C36" i="9"/>
  <c r="C40" i="9" s="1"/>
  <c r="E37" i="10"/>
  <c r="E41" i="10" s="1"/>
  <c r="L82" i="10"/>
  <c r="L83" i="8"/>
  <c r="L79" i="8"/>
  <c r="L83" i="9"/>
  <c r="L79" i="9"/>
  <c r="D29" i="8"/>
  <c r="E11" i="8"/>
  <c r="C31" i="8"/>
  <c r="E32" i="10"/>
  <c r="C32" i="10"/>
  <c r="F30" i="10"/>
  <c r="G12" i="10"/>
  <c r="D29" i="9"/>
  <c r="E11" i="9"/>
  <c r="D20" i="6"/>
  <c r="D36" i="8" l="1"/>
  <c r="D40" i="8" s="1"/>
  <c r="C69" i="8"/>
  <c r="C67" i="8"/>
  <c r="C66" i="8"/>
  <c r="C67" i="9"/>
  <c r="C66" i="9"/>
  <c r="C69" i="9"/>
  <c r="F37" i="10"/>
  <c r="F41" i="10" s="1"/>
  <c r="E68" i="10"/>
  <c r="E70" i="10"/>
  <c r="E67" i="10"/>
  <c r="C89" i="10"/>
  <c r="C89" i="8"/>
  <c r="C100" i="8"/>
  <c r="C101" i="8" s="1"/>
  <c r="C106" i="8" s="1"/>
  <c r="C88" i="8"/>
  <c r="D89" i="10"/>
  <c r="C88" i="9"/>
  <c r="E89" i="10"/>
  <c r="B72" i="10"/>
  <c r="B74" i="10" s="1"/>
  <c r="L81" i="9"/>
  <c r="B71" i="9"/>
  <c r="C72" i="10"/>
  <c r="D90" i="10"/>
  <c r="D45" i="10"/>
  <c r="D101" i="10"/>
  <c r="D102" i="10" s="1"/>
  <c r="D107" i="10" s="1"/>
  <c r="E29" i="9"/>
  <c r="F11" i="9"/>
  <c r="C90" i="10"/>
  <c r="C101" i="10"/>
  <c r="C102" i="10" s="1"/>
  <c r="C107" i="10" s="1"/>
  <c r="C45" i="10"/>
  <c r="D31" i="9"/>
  <c r="B71" i="8"/>
  <c r="D36" i="9"/>
  <c r="E29" i="8"/>
  <c r="F11" i="8"/>
  <c r="C44" i="8"/>
  <c r="D69" i="10"/>
  <c r="D72" i="10" s="1"/>
  <c r="D31" i="8"/>
  <c r="H12" i="10"/>
  <c r="G30" i="10"/>
  <c r="L81" i="8"/>
  <c r="F32" i="10"/>
  <c r="E101" i="10"/>
  <c r="E102" i="10" s="1"/>
  <c r="E107" i="10" s="1"/>
  <c r="E90" i="10"/>
  <c r="E45" i="10"/>
  <c r="C44" i="9"/>
  <c r="C100" i="9"/>
  <c r="C101" i="9" s="1"/>
  <c r="C106" i="9" s="1"/>
  <c r="C89" i="9"/>
  <c r="D66" i="9" l="1"/>
  <c r="D67" i="9"/>
  <c r="D69" i="9"/>
  <c r="F70" i="10"/>
  <c r="F68" i="10"/>
  <c r="F67" i="10"/>
  <c r="D69" i="8"/>
  <c r="D67" i="8"/>
  <c r="D66" i="8"/>
  <c r="F89" i="10"/>
  <c r="B110" i="8"/>
  <c r="B115" i="8" s="1"/>
  <c r="C90" i="8"/>
  <c r="D88" i="8"/>
  <c r="C68" i="8"/>
  <c r="C71" i="8" s="1"/>
  <c r="B111" i="10"/>
  <c r="B116" i="10" s="1"/>
  <c r="B118" i="10" s="1"/>
  <c r="B120" i="10" s="1"/>
  <c r="D92" i="10"/>
  <c r="D74" i="10"/>
  <c r="C68" i="9"/>
  <c r="C71" i="9" s="1"/>
  <c r="D91" i="10"/>
  <c r="C92" i="10"/>
  <c r="D111" i="10"/>
  <c r="D116" i="10" s="1"/>
  <c r="C74" i="10"/>
  <c r="C94" i="10" s="1"/>
  <c r="I12" i="10"/>
  <c r="H30" i="10"/>
  <c r="C91" i="10"/>
  <c r="E91" i="10"/>
  <c r="F29" i="9"/>
  <c r="G11" i="9"/>
  <c r="C111" i="10"/>
  <c r="C116" i="10" s="1"/>
  <c r="D40" i="9"/>
  <c r="D88" i="9"/>
  <c r="E36" i="9"/>
  <c r="E31" i="9"/>
  <c r="G32" i="10"/>
  <c r="G37" i="10"/>
  <c r="B73" i="9"/>
  <c r="B110" i="9"/>
  <c r="B115" i="9" s="1"/>
  <c r="C90" i="9"/>
  <c r="F45" i="10"/>
  <c r="F101" i="10"/>
  <c r="F102" i="10" s="1"/>
  <c r="F107" i="10" s="1"/>
  <c r="F90" i="10"/>
  <c r="D89" i="8"/>
  <c r="D44" i="8"/>
  <c r="D100" i="8"/>
  <c r="G11" i="8"/>
  <c r="F29" i="8"/>
  <c r="E31" i="8"/>
  <c r="E36" i="8"/>
  <c r="E69" i="10"/>
  <c r="E72" i="10" s="1"/>
  <c r="E111" i="10" s="1"/>
  <c r="E116" i="10" s="1"/>
  <c r="B73" i="8"/>
  <c r="B84" i="10"/>
  <c r="B77" i="10"/>
  <c r="E69" i="8" l="1"/>
  <c r="E67" i="8"/>
  <c r="E66" i="8"/>
  <c r="G70" i="10"/>
  <c r="G67" i="10"/>
  <c r="G68" i="10"/>
  <c r="E67" i="9"/>
  <c r="E69" i="9"/>
  <c r="E66" i="9"/>
  <c r="D101" i="8"/>
  <c r="D106" i="8" s="1"/>
  <c r="C110" i="8"/>
  <c r="C115" i="8" s="1"/>
  <c r="B117" i="8"/>
  <c r="B119" i="8" s="1"/>
  <c r="B76" i="8"/>
  <c r="B79" i="8" s="1"/>
  <c r="B83" i="8"/>
  <c r="C91" i="9"/>
  <c r="C73" i="9"/>
  <c r="F91" i="10"/>
  <c r="F69" i="10"/>
  <c r="F72" i="10" s="1"/>
  <c r="D44" i="9"/>
  <c r="D100" i="9"/>
  <c r="D101" i="9" s="1"/>
  <c r="D106" i="9" s="1"/>
  <c r="D89" i="9"/>
  <c r="J12" i="10"/>
  <c r="I30" i="10"/>
  <c r="D84" i="10"/>
  <c r="D80" i="10"/>
  <c r="D93" i="10"/>
  <c r="C93" i="10"/>
  <c r="C84" i="10"/>
  <c r="C80" i="10"/>
  <c r="H37" i="10"/>
  <c r="H32" i="10"/>
  <c r="F31" i="8"/>
  <c r="F36" i="8"/>
  <c r="H11" i="8"/>
  <c r="G29" i="8"/>
  <c r="H11" i="9"/>
  <c r="G29" i="9"/>
  <c r="F36" i="9"/>
  <c r="F31" i="9"/>
  <c r="E92" i="10"/>
  <c r="E74" i="10"/>
  <c r="G89" i="10"/>
  <c r="G41" i="10"/>
  <c r="B117" i="9"/>
  <c r="B119" i="9" s="1"/>
  <c r="C91" i="8"/>
  <c r="C73" i="8"/>
  <c r="E88" i="8"/>
  <c r="E40" i="8"/>
  <c r="B83" i="9"/>
  <c r="B76" i="9"/>
  <c r="D68" i="8"/>
  <c r="D71" i="8" s="1"/>
  <c r="D90" i="8"/>
  <c r="C110" i="9"/>
  <c r="C115" i="9" s="1"/>
  <c r="D68" i="9"/>
  <c r="D71" i="9" s="1"/>
  <c r="D110" i="9" s="1"/>
  <c r="B55" i="10"/>
  <c r="B59" i="10" s="1"/>
  <c r="B80" i="10"/>
  <c r="B82" i="10" s="1"/>
  <c r="C47" i="10" s="1"/>
  <c r="C49" i="10" s="1"/>
  <c r="E40" i="9"/>
  <c r="E88" i="9"/>
  <c r="D94" i="10"/>
  <c r="F67" i="9" l="1"/>
  <c r="F69" i="9"/>
  <c r="F66" i="9"/>
  <c r="F69" i="8"/>
  <c r="F67" i="8"/>
  <c r="F66" i="8"/>
  <c r="H67" i="10"/>
  <c r="H70" i="10"/>
  <c r="H68" i="10"/>
  <c r="B81" i="8"/>
  <c r="C46" i="8" s="1"/>
  <c r="C48" i="8" s="1"/>
  <c r="F88" i="8"/>
  <c r="C83" i="8"/>
  <c r="C92" i="8"/>
  <c r="C93" i="8"/>
  <c r="C82" i="10"/>
  <c r="D47" i="10" s="1"/>
  <c r="D49" i="10" s="1"/>
  <c r="D51" i="10" s="1"/>
  <c r="F92" i="10"/>
  <c r="F74" i="10"/>
  <c r="F111" i="10"/>
  <c r="F116" i="10" s="1"/>
  <c r="E68" i="9"/>
  <c r="E71" i="9" s="1"/>
  <c r="D115" i="9"/>
  <c r="D91" i="8"/>
  <c r="D73" i="8"/>
  <c r="E89" i="9"/>
  <c r="E44" i="9"/>
  <c r="E90" i="9" s="1"/>
  <c r="E100" i="9"/>
  <c r="E101" i="9" s="1"/>
  <c r="E106" i="9" s="1"/>
  <c r="F88" i="9"/>
  <c r="F40" i="9"/>
  <c r="H29" i="9"/>
  <c r="I11" i="9"/>
  <c r="G31" i="8"/>
  <c r="G36" i="8"/>
  <c r="D82" i="10"/>
  <c r="E47" i="10" s="1"/>
  <c r="E49" i="10" s="1"/>
  <c r="I32" i="10"/>
  <c r="I37" i="10"/>
  <c r="C79" i="9"/>
  <c r="C83" i="9"/>
  <c r="C92" i="9"/>
  <c r="C93" i="9"/>
  <c r="D90" i="9"/>
  <c r="G36" i="9"/>
  <c r="G31" i="9"/>
  <c r="D73" i="9"/>
  <c r="D93" i="9" s="1"/>
  <c r="D91" i="9"/>
  <c r="C79" i="8"/>
  <c r="E84" i="10"/>
  <c r="E80" i="10"/>
  <c r="E93" i="10"/>
  <c r="E94" i="10"/>
  <c r="H41" i="10"/>
  <c r="H89" i="10"/>
  <c r="F40" i="8"/>
  <c r="J30" i="10"/>
  <c r="K12" i="10"/>
  <c r="B54" i="9"/>
  <c r="B79" i="9"/>
  <c r="B81" i="9" s="1"/>
  <c r="C46" i="9" s="1"/>
  <c r="C48" i="9" s="1"/>
  <c r="G101" i="10"/>
  <c r="G102" i="10" s="1"/>
  <c r="G107" i="10" s="1"/>
  <c r="G90" i="10"/>
  <c r="G45" i="10"/>
  <c r="C53" i="10"/>
  <c r="C78" i="10" s="1"/>
  <c r="B54" i="8"/>
  <c r="E89" i="8"/>
  <c r="E44" i="8"/>
  <c r="E100" i="8"/>
  <c r="E101" i="8" s="1"/>
  <c r="E106" i="8" s="1"/>
  <c r="I11" i="8"/>
  <c r="H29" i="8"/>
  <c r="G69" i="10"/>
  <c r="G72" i="10" s="1"/>
  <c r="G111" i="10" s="1"/>
  <c r="D110" i="8"/>
  <c r="D115" i="8" s="1"/>
  <c r="E68" i="8"/>
  <c r="E71" i="8" s="1"/>
  <c r="E110" i="8" s="1"/>
  <c r="G67" i="9" l="1"/>
  <c r="G66" i="9"/>
  <c r="G69" i="9"/>
  <c r="G67" i="8"/>
  <c r="G69" i="8"/>
  <c r="G66" i="8"/>
  <c r="I70" i="10"/>
  <c r="I68" i="10"/>
  <c r="I67" i="10"/>
  <c r="E51" i="10"/>
  <c r="E53" i="10" s="1"/>
  <c r="D53" i="10"/>
  <c r="D78" i="10" s="1"/>
  <c r="D77" i="10" s="1"/>
  <c r="C52" i="9"/>
  <c r="C52" i="8"/>
  <c r="C77" i="8" s="1"/>
  <c r="C76" i="8" s="1"/>
  <c r="B58" i="8"/>
  <c r="C77" i="10"/>
  <c r="C55" i="10" s="1"/>
  <c r="E115" i="8"/>
  <c r="G116" i="10"/>
  <c r="E82" i="10"/>
  <c r="F47" i="10" s="1"/>
  <c r="F49" i="10" s="1"/>
  <c r="B58" i="9"/>
  <c r="L12" i="10"/>
  <c r="L30" i="10" s="1"/>
  <c r="K30" i="10"/>
  <c r="I89" i="10"/>
  <c r="I41" i="10"/>
  <c r="I29" i="9"/>
  <c r="J11" i="9"/>
  <c r="C81" i="8"/>
  <c r="H36" i="9"/>
  <c r="H31" i="9"/>
  <c r="F68" i="9"/>
  <c r="F71" i="9" s="1"/>
  <c r="F110" i="9" s="1"/>
  <c r="J32" i="10"/>
  <c r="J37" i="10"/>
  <c r="G40" i="9"/>
  <c r="G88" i="9"/>
  <c r="F89" i="9"/>
  <c r="F44" i="9"/>
  <c r="F90" i="9" s="1"/>
  <c r="F100" i="9"/>
  <c r="F101" i="9" s="1"/>
  <c r="F106" i="9" s="1"/>
  <c r="E73" i="9"/>
  <c r="E91" i="9"/>
  <c r="E91" i="8"/>
  <c r="E73" i="8"/>
  <c r="E93" i="8" s="1"/>
  <c r="H69" i="10"/>
  <c r="H72" i="10" s="1"/>
  <c r="F89" i="8"/>
  <c r="F44" i="8"/>
  <c r="F100" i="8"/>
  <c r="F101" i="8" s="1"/>
  <c r="F106" i="8" s="1"/>
  <c r="J11" i="8"/>
  <c r="I29" i="8"/>
  <c r="E90" i="8"/>
  <c r="G92" i="10"/>
  <c r="G74" i="10"/>
  <c r="F84" i="10"/>
  <c r="F80" i="10"/>
  <c r="F93" i="10"/>
  <c r="F94" i="10"/>
  <c r="G91" i="10"/>
  <c r="H45" i="10"/>
  <c r="H101" i="10"/>
  <c r="H102" i="10" s="1"/>
  <c r="H107" i="10" s="1"/>
  <c r="H90" i="10"/>
  <c r="E110" i="9"/>
  <c r="E115" i="9" s="1"/>
  <c r="G40" i="8"/>
  <c r="G88" i="8"/>
  <c r="H31" i="8"/>
  <c r="H36" i="8"/>
  <c r="C77" i="9"/>
  <c r="C76" i="9" s="1"/>
  <c r="C54" i="9" s="1"/>
  <c r="D83" i="9"/>
  <c r="D79" i="9"/>
  <c r="D92" i="9"/>
  <c r="C81" i="9"/>
  <c r="D46" i="9" s="1"/>
  <c r="D48" i="9" s="1"/>
  <c r="D50" i="9" s="1"/>
  <c r="F68" i="8"/>
  <c r="F71" i="8" s="1"/>
  <c r="F110" i="8" s="1"/>
  <c r="D83" i="8"/>
  <c r="D79" i="8"/>
  <c r="D92" i="8"/>
  <c r="D93" i="8"/>
  <c r="H69" i="8" l="1"/>
  <c r="H67" i="8"/>
  <c r="H66" i="8"/>
  <c r="H69" i="9"/>
  <c r="H66" i="9"/>
  <c r="H67" i="9"/>
  <c r="J70" i="10"/>
  <c r="J67" i="10"/>
  <c r="J68" i="10"/>
  <c r="K70" i="10"/>
  <c r="K67" i="10"/>
  <c r="K68" i="10"/>
  <c r="F51" i="10"/>
  <c r="F53" i="10" s="1"/>
  <c r="D46" i="8"/>
  <c r="D48" i="8" s="1"/>
  <c r="D55" i="10"/>
  <c r="E78" i="10"/>
  <c r="E77" i="10" s="1"/>
  <c r="E55" i="10" s="1"/>
  <c r="F115" i="9"/>
  <c r="F115" i="8"/>
  <c r="D81" i="8"/>
  <c r="E46" i="8" s="1"/>
  <c r="E48" i="8" s="1"/>
  <c r="H111" i="10"/>
  <c r="H116" i="10" s="1"/>
  <c r="H92" i="10"/>
  <c r="H74" i="10"/>
  <c r="H94" i="10" s="1"/>
  <c r="I31" i="8"/>
  <c r="I36" i="8"/>
  <c r="K11" i="8"/>
  <c r="J29" i="8"/>
  <c r="H40" i="9"/>
  <c r="H88" i="9"/>
  <c r="D52" i="9"/>
  <c r="D77" i="9" s="1"/>
  <c r="F82" i="10"/>
  <c r="G47" i="10" s="1"/>
  <c r="G49" i="10" s="1"/>
  <c r="G51" i="10" s="1"/>
  <c r="J89" i="10"/>
  <c r="J41" i="10"/>
  <c r="I90" i="10"/>
  <c r="I45" i="10"/>
  <c r="I101" i="10"/>
  <c r="I102" i="10" s="1"/>
  <c r="I107" i="10" s="1"/>
  <c r="F91" i="8"/>
  <c r="F73" i="8"/>
  <c r="H88" i="8"/>
  <c r="H40" i="8"/>
  <c r="F90" i="8"/>
  <c r="E93" i="9"/>
  <c r="E83" i="9"/>
  <c r="E79" i="9"/>
  <c r="E92" i="9"/>
  <c r="I69" i="10"/>
  <c r="I72" i="10" s="1"/>
  <c r="F73" i="9"/>
  <c r="F79" i="9" s="1"/>
  <c r="F91" i="9"/>
  <c r="I31" i="9"/>
  <c r="I36" i="9"/>
  <c r="G68" i="9"/>
  <c r="G71" i="9" s="1"/>
  <c r="E83" i="8"/>
  <c r="E79" i="8"/>
  <c r="E92" i="8"/>
  <c r="D81" i="9"/>
  <c r="E46" i="9" s="1"/>
  <c r="E48" i="9" s="1"/>
  <c r="G80" i="10"/>
  <c r="G84" i="10"/>
  <c r="G93" i="10"/>
  <c r="C54" i="8"/>
  <c r="G68" i="8"/>
  <c r="G71" i="8" s="1"/>
  <c r="G94" i="10"/>
  <c r="G44" i="9"/>
  <c r="G100" i="9"/>
  <c r="G101" i="9" s="1"/>
  <c r="G106" i="9" s="1"/>
  <c r="G89" i="9"/>
  <c r="G100" i="8"/>
  <c r="G101" i="8" s="1"/>
  <c r="G106" i="8" s="1"/>
  <c r="G44" i="8"/>
  <c r="G89" i="8"/>
  <c r="K37" i="10"/>
  <c r="K32" i="10"/>
  <c r="L37" i="10"/>
  <c r="L32" i="10"/>
  <c r="H91" i="10"/>
  <c r="K11" i="9"/>
  <c r="J29" i="9"/>
  <c r="I69" i="8" l="1"/>
  <c r="I67" i="8"/>
  <c r="I66" i="8"/>
  <c r="I69" i="9"/>
  <c r="I66" i="9"/>
  <c r="I67" i="9"/>
  <c r="E50" i="9"/>
  <c r="D50" i="8"/>
  <c r="D52" i="8" s="1"/>
  <c r="D77" i="8" s="1"/>
  <c r="D76" i="8" s="1"/>
  <c r="D54" i="8" s="1"/>
  <c r="E50" i="8"/>
  <c r="E52" i="8" s="1"/>
  <c r="F78" i="10"/>
  <c r="F77" i="10" s="1"/>
  <c r="F55" i="10" s="1"/>
  <c r="G82" i="10"/>
  <c r="H47" i="10" s="1"/>
  <c r="H49" i="10" s="1"/>
  <c r="E81" i="8"/>
  <c r="F46" i="8" s="1"/>
  <c r="F48" i="8" s="1"/>
  <c r="D76" i="9"/>
  <c r="D54" i="9" s="1"/>
  <c r="G90" i="9"/>
  <c r="I92" i="10"/>
  <c r="I74" i="10"/>
  <c r="I94" i="10" s="1"/>
  <c r="F93" i="9"/>
  <c r="F83" i="9"/>
  <c r="F92" i="9"/>
  <c r="I111" i="10"/>
  <c r="I116" i="10" s="1"/>
  <c r="G110" i="9"/>
  <c r="G115" i="9" s="1"/>
  <c r="G73" i="9"/>
  <c r="G93" i="9" s="1"/>
  <c r="G91" i="9"/>
  <c r="F83" i="8"/>
  <c r="F79" i="8"/>
  <c r="F92" i="8"/>
  <c r="J69" i="10"/>
  <c r="J72" i="10" s="1"/>
  <c r="J111" i="10" s="1"/>
  <c r="K41" i="10"/>
  <c r="K89" i="10"/>
  <c r="H68" i="9"/>
  <c r="H71" i="9" s="1"/>
  <c r="H110" i="9" s="1"/>
  <c r="H84" i="10"/>
  <c r="H80" i="10"/>
  <c r="H93" i="10"/>
  <c r="L11" i="8"/>
  <c r="L29" i="8" s="1"/>
  <c r="K29" i="8"/>
  <c r="J31" i="9"/>
  <c r="J36" i="9"/>
  <c r="F93" i="8"/>
  <c r="I40" i="9"/>
  <c r="I88" i="9"/>
  <c r="H44" i="9"/>
  <c r="H89" i="9"/>
  <c r="H100" i="9"/>
  <c r="H101" i="9" s="1"/>
  <c r="H106" i="9" s="1"/>
  <c r="J31" i="8"/>
  <c r="J36" i="8"/>
  <c r="G90" i="8"/>
  <c r="E81" i="9"/>
  <c r="F46" i="9" s="1"/>
  <c r="F48" i="9" s="1"/>
  <c r="I91" i="10"/>
  <c r="K69" i="10"/>
  <c r="K72" i="10" s="1"/>
  <c r="L92" i="10"/>
  <c r="G110" i="8"/>
  <c r="G115" i="8" s="1"/>
  <c r="G91" i="8"/>
  <c r="G73" i="8"/>
  <c r="I40" i="8"/>
  <c r="I88" i="8"/>
  <c r="L11" i="9"/>
  <c r="L29" i="9" s="1"/>
  <c r="K29" i="9"/>
  <c r="L41" i="10"/>
  <c r="L89" i="10"/>
  <c r="J45" i="10"/>
  <c r="J101" i="10"/>
  <c r="J102" i="10" s="1"/>
  <c r="J107" i="10" s="1"/>
  <c r="J90" i="10"/>
  <c r="H68" i="8"/>
  <c r="H71" i="8" s="1"/>
  <c r="H89" i="8"/>
  <c r="H100" i="8"/>
  <c r="H101" i="8" s="1"/>
  <c r="H106" i="8" s="1"/>
  <c r="H44" i="8"/>
  <c r="H90" i="8" s="1"/>
  <c r="G53" i="10"/>
  <c r="K69" i="9" l="1"/>
  <c r="K66" i="9"/>
  <c r="K67" i="9"/>
  <c r="K67" i="8"/>
  <c r="K69" i="8"/>
  <c r="K66" i="8"/>
  <c r="E77" i="8"/>
  <c r="E76" i="8" s="1"/>
  <c r="E54" i="8" s="1"/>
  <c r="J69" i="9"/>
  <c r="J66" i="9"/>
  <c r="J67" i="9"/>
  <c r="J69" i="8"/>
  <c r="J67" i="8"/>
  <c r="J66" i="8"/>
  <c r="H51" i="10"/>
  <c r="H53" i="10" s="1"/>
  <c r="G78" i="10"/>
  <c r="F50" i="9"/>
  <c r="F50" i="8"/>
  <c r="F52" i="8" s="1"/>
  <c r="E52" i="9"/>
  <c r="E77" i="9" s="1"/>
  <c r="E76" i="9" s="1"/>
  <c r="E54" i="9" s="1"/>
  <c r="F81" i="9"/>
  <c r="G46" i="9" s="1"/>
  <c r="G48" i="9" s="1"/>
  <c r="F81" i="8"/>
  <c r="G46" i="8" s="1"/>
  <c r="G48" i="8" s="1"/>
  <c r="K92" i="10"/>
  <c r="L111" i="10"/>
  <c r="K74" i="10"/>
  <c r="L93" i="10" s="1"/>
  <c r="H73" i="9"/>
  <c r="H93" i="9" s="1"/>
  <c r="H91" i="9"/>
  <c r="L31" i="8"/>
  <c r="L36" i="8"/>
  <c r="L31" i="9"/>
  <c r="L36" i="9"/>
  <c r="H110" i="8"/>
  <c r="H115" i="8" s="1"/>
  <c r="H91" i="8"/>
  <c r="H73" i="8"/>
  <c r="J40" i="9"/>
  <c r="J88" i="9"/>
  <c r="H115" i="9"/>
  <c r="G79" i="9"/>
  <c r="G83" i="9"/>
  <c r="G92" i="9"/>
  <c r="G79" i="8"/>
  <c r="G83" i="8"/>
  <c r="G92" i="8"/>
  <c r="H90" i="9"/>
  <c r="I68" i="9"/>
  <c r="I71" i="9" s="1"/>
  <c r="I110" i="9" s="1"/>
  <c r="J116" i="10"/>
  <c r="I84" i="10"/>
  <c r="I80" i="10"/>
  <c r="I93" i="10"/>
  <c r="L45" i="10"/>
  <c r="L94" i="10" s="1"/>
  <c r="L101" i="10"/>
  <c r="L102" i="10" s="1"/>
  <c r="L107" i="10" s="1"/>
  <c r="L90" i="10"/>
  <c r="K31" i="9"/>
  <c r="K36" i="9"/>
  <c r="I68" i="8"/>
  <c r="I71" i="8" s="1"/>
  <c r="H82" i="10"/>
  <c r="I47" i="10" s="1"/>
  <c r="I49" i="10" s="1"/>
  <c r="I44" i="8"/>
  <c r="I90" i="8" s="1"/>
  <c r="I89" i="8"/>
  <c r="I100" i="8"/>
  <c r="I101" i="8" s="1"/>
  <c r="I106" i="8" s="1"/>
  <c r="J91" i="10"/>
  <c r="G93" i="8"/>
  <c r="K101" i="10"/>
  <c r="K102" i="10" s="1"/>
  <c r="K107" i="10" s="1"/>
  <c r="K90" i="10"/>
  <c r="K45" i="10"/>
  <c r="J88" i="8"/>
  <c r="J40" i="8"/>
  <c r="I89" i="9"/>
  <c r="I44" i="9"/>
  <c r="I90" i="9" s="1"/>
  <c r="I100" i="9"/>
  <c r="I101" i="9" s="1"/>
  <c r="I106" i="9" s="1"/>
  <c r="K31" i="8"/>
  <c r="K36" i="8"/>
  <c r="K111" i="10"/>
  <c r="J92" i="10"/>
  <c r="J74" i="10"/>
  <c r="J94" i="10" s="1"/>
  <c r="L132" i="6"/>
  <c r="L133" i="6" s="1"/>
  <c r="B128" i="6"/>
  <c r="C118" i="6"/>
  <c r="D118" i="6" s="1"/>
  <c r="E118" i="6" s="1"/>
  <c r="F118" i="6" s="1"/>
  <c r="G118" i="6" s="1"/>
  <c r="H118" i="6" s="1"/>
  <c r="I118" i="6" s="1"/>
  <c r="J118" i="6" s="1"/>
  <c r="K118" i="6" s="1"/>
  <c r="L118" i="6" s="1"/>
  <c r="L81" i="6"/>
  <c r="B78" i="6"/>
  <c r="C78" i="6" s="1"/>
  <c r="L55" i="6"/>
  <c r="L123" i="6" s="1"/>
  <c r="L124" i="6" s="1"/>
  <c r="K55" i="6"/>
  <c r="K123" i="6" s="1"/>
  <c r="K124" i="6" s="1"/>
  <c r="J55" i="6"/>
  <c r="J123" i="6" s="1"/>
  <c r="J124" i="6" s="1"/>
  <c r="I55" i="6"/>
  <c r="I123" i="6" s="1"/>
  <c r="I124" i="6" s="1"/>
  <c r="H55" i="6"/>
  <c r="H123" i="6" s="1"/>
  <c r="H124" i="6" s="1"/>
  <c r="G55" i="6"/>
  <c r="G123" i="6" s="1"/>
  <c r="G124" i="6" s="1"/>
  <c r="F55" i="6"/>
  <c r="F123" i="6" s="1"/>
  <c r="F124" i="6" s="1"/>
  <c r="E55" i="6"/>
  <c r="E123" i="6" s="1"/>
  <c r="E124" i="6" s="1"/>
  <c r="D55" i="6"/>
  <c r="D123" i="6" s="1"/>
  <c r="D124" i="6" s="1"/>
  <c r="C55" i="6"/>
  <c r="C123" i="6" s="1"/>
  <c r="C124" i="6" s="1"/>
  <c r="L42" i="6"/>
  <c r="K42" i="6"/>
  <c r="J42" i="6"/>
  <c r="I42" i="6"/>
  <c r="H42" i="6"/>
  <c r="G42" i="6"/>
  <c r="F42" i="6"/>
  <c r="E42" i="6"/>
  <c r="D42" i="6"/>
  <c r="C42" i="6"/>
  <c r="B86" i="6" s="1"/>
  <c r="D40" i="6"/>
  <c r="D7" i="6"/>
  <c r="E7" i="6" s="1"/>
  <c r="F7" i="6" s="1"/>
  <c r="G7" i="6" s="1"/>
  <c r="H7" i="6" s="1"/>
  <c r="I7" i="6" s="1"/>
  <c r="J7" i="6" s="1"/>
  <c r="K7" i="6" s="1"/>
  <c r="L7" i="6" s="1"/>
  <c r="F77" i="8" l="1"/>
  <c r="H78" i="10"/>
  <c r="H77" i="10" s="1"/>
  <c r="I51" i="10"/>
  <c r="I53" i="10" s="1"/>
  <c r="G77" i="10"/>
  <c r="G55" i="10" s="1"/>
  <c r="G50" i="9"/>
  <c r="G52" i="9" s="1"/>
  <c r="G50" i="8"/>
  <c r="G52" i="8" s="1"/>
  <c r="F52" i="9"/>
  <c r="F77" i="9" s="1"/>
  <c r="K116" i="10"/>
  <c r="I115" i="9"/>
  <c r="G81" i="8"/>
  <c r="H46" i="8" s="1"/>
  <c r="H48" i="8" s="1"/>
  <c r="H50" i="8" s="1"/>
  <c r="I82" i="10"/>
  <c r="J47" i="10" s="1"/>
  <c r="J49" i="10" s="1"/>
  <c r="J80" i="10"/>
  <c r="J84" i="10"/>
  <c r="J93" i="10"/>
  <c r="J68" i="8"/>
  <c r="J71" i="8" s="1"/>
  <c r="K91" i="10"/>
  <c r="K94" i="10"/>
  <c r="L91" i="10"/>
  <c r="I110" i="8"/>
  <c r="I115" i="8" s="1"/>
  <c r="I91" i="8"/>
  <c r="I73" i="8"/>
  <c r="J44" i="9"/>
  <c r="J89" i="9"/>
  <c r="J100" i="9"/>
  <c r="J101" i="9" s="1"/>
  <c r="J106" i="9" s="1"/>
  <c r="L40" i="8"/>
  <c r="L88" i="8"/>
  <c r="H93" i="8"/>
  <c r="H79" i="8"/>
  <c r="H83" i="8"/>
  <c r="H92" i="8"/>
  <c r="K80" i="10"/>
  <c r="K84" i="10"/>
  <c r="K93" i="10"/>
  <c r="J44" i="8"/>
  <c r="J89" i="8"/>
  <c r="J100" i="8"/>
  <c r="J101" i="8" s="1"/>
  <c r="J106" i="8" s="1"/>
  <c r="J68" i="9"/>
  <c r="J71" i="9" s="1"/>
  <c r="G81" i="9"/>
  <c r="H46" i="9" s="1"/>
  <c r="H48" i="9" s="1"/>
  <c r="I91" i="9"/>
  <c r="I73" i="9"/>
  <c r="F76" i="8"/>
  <c r="F54" i="8" s="1"/>
  <c r="K68" i="8"/>
  <c r="K71" i="8" s="1"/>
  <c r="L110" i="8" s="1"/>
  <c r="L91" i="8"/>
  <c r="K40" i="9"/>
  <c r="K88" i="9"/>
  <c r="K40" i="8"/>
  <c r="K88" i="8"/>
  <c r="L40" i="9"/>
  <c r="L88" i="9"/>
  <c r="H83" i="9"/>
  <c r="H79" i="9"/>
  <c r="H92" i="9"/>
  <c r="L116" i="10"/>
  <c r="K68" i="9"/>
  <c r="K71" i="9" s="1"/>
  <c r="L91" i="9"/>
  <c r="D43" i="6"/>
  <c r="D44" i="6" s="1"/>
  <c r="C85" i="6" s="1"/>
  <c r="B81" i="6"/>
  <c r="D78" i="6"/>
  <c r="C79" i="6"/>
  <c r="D79" i="6" s="1"/>
  <c r="E79" i="6" s="1"/>
  <c r="F79" i="6" s="1"/>
  <c r="G79" i="6" s="1"/>
  <c r="H79" i="6" s="1"/>
  <c r="I79" i="6" s="1"/>
  <c r="J79" i="6" s="1"/>
  <c r="K79" i="6" s="1"/>
  <c r="L88" i="6"/>
  <c r="L90" i="6" s="1"/>
  <c r="E40" i="6"/>
  <c r="C44" i="6"/>
  <c r="G77" i="8" l="1"/>
  <c r="G76" i="8" s="1"/>
  <c r="I78" i="10"/>
  <c r="I77" i="10" s="1"/>
  <c r="I55" i="10" s="1"/>
  <c r="H55" i="10"/>
  <c r="J51" i="10"/>
  <c r="J53" i="10" s="1"/>
  <c r="J78" i="10" s="1"/>
  <c r="H50" i="9"/>
  <c r="H52" i="9" s="1"/>
  <c r="H52" i="8"/>
  <c r="H77" i="8" s="1"/>
  <c r="H76" i="8" s="1"/>
  <c r="H54" i="8" s="1"/>
  <c r="F76" i="9"/>
  <c r="F54" i="9" s="1"/>
  <c r="G77" i="9"/>
  <c r="G76" i="9" s="1"/>
  <c r="H81" i="8"/>
  <c r="I46" i="8" s="1"/>
  <c r="I48" i="8" s="1"/>
  <c r="J82" i="10"/>
  <c r="K47" i="10" s="1"/>
  <c r="K49" i="10" s="1"/>
  <c r="K44" i="9"/>
  <c r="K89" i="9"/>
  <c r="K100" i="9"/>
  <c r="K101" i="9" s="1"/>
  <c r="K106" i="9" s="1"/>
  <c r="L100" i="8"/>
  <c r="L101" i="8" s="1"/>
  <c r="L106" i="8" s="1"/>
  <c r="L115" i="8" s="1"/>
  <c r="L89" i="8"/>
  <c r="L44" i="8"/>
  <c r="J91" i="9"/>
  <c r="J73" i="9"/>
  <c r="K110" i="9"/>
  <c r="H81" i="9"/>
  <c r="I46" i="9" s="1"/>
  <c r="I48" i="9" s="1"/>
  <c r="I50" i="9" s="1"/>
  <c r="J90" i="8"/>
  <c r="H123" i="10"/>
  <c r="J110" i="9"/>
  <c r="J115" i="9" s="1"/>
  <c r="G54" i="8"/>
  <c r="K91" i="8"/>
  <c r="K73" i="8"/>
  <c r="L92" i="8" s="1"/>
  <c r="I93" i="9"/>
  <c r="I83" i="9"/>
  <c r="I79" i="9"/>
  <c r="I92" i="9"/>
  <c r="K100" i="8"/>
  <c r="K101" i="8" s="1"/>
  <c r="K106" i="8" s="1"/>
  <c r="K44" i="8"/>
  <c r="K89" i="8"/>
  <c r="J90" i="9"/>
  <c r="J110" i="8"/>
  <c r="J115" i="8" s="1"/>
  <c r="K110" i="8"/>
  <c r="J91" i="8"/>
  <c r="J73" i="8"/>
  <c r="L110" i="9"/>
  <c r="K91" i="9"/>
  <c r="K73" i="9"/>
  <c r="L92" i="9" s="1"/>
  <c r="I93" i="8"/>
  <c r="I79" i="8"/>
  <c r="I83" i="8"/>
  <c r="I92" i="8"/>
  <c r="L44" i="9"/>
  <c r="L89" i="9"/>
  <c r="L100" i="9"/>
  <c r="L101" i="9" s="1"/>
  <c r="L106" i="9" s="1"/>
  <c r="K82" i="10"/>
  <c r="L47" i="10" s="1"/>
  <c r="L49" i="10" s="1"/>
  <c r="H125" i="10"/>
  <c r="L101" i="6"/>
  <c r="C81" i="6"/>
  <c r="E78" i="6"/>
  <c r="D81" i="6"/>
  <c r="F40" i="6"/>
  <c r="E43" i="6"/>
  <c r="L93" i="9" l="1"/>
  <c r="L93" i="8"/>
  <c r="K51" i="10"/>
  <c r="K53" i="10" s="1"/>
  <c r="K78" i="10" s="1"/>
  <c r="K77" i="10" s="1"/>
  <c r="L51" i="10"/>
  <c r="L53" i="10" s="1"/>
  <c r="I50" i="8"/>
  <c r="I52" i="8" s="1"/>
  <c r="I77" i="8" s="1"/>
  <c r="G54" i="9"/>
  <c r="H77" i="9"/>
  <c r="H76" i="9" s="1"/>
  <c r="H54" i="9" s="1"/>
  <c r="K115" i="9"/>
  <c r="K115" i="8"/>
  <c r="H122" i="8" s="1"/>
  <c r="I81" i="9"/>
  <c r="J46" i="9" s="1"/>
  <c r="J48" i="9" s="1"/>
  <c r="K93" i="9"/>
  <c r="K90" i="9"/>
  <c r="L115" i="9"/>
  <c r="I52" i="9"/>
  <c r="L90" i="9"/>
  <c r="L55" i="10"/>
  <c r="J83" i="9"/>
  <c r="J79" i="9"/>
  <c r="J92" i="9"/>
  <c r="J79" i="8"/>
  <c r="J83" i="8"/>
  <c r="J92" i="8"/>
  <c r="I81" i="8"/>
  <c r="J46" i="8" s="1"/>
  <c r="J48" i="8" s="1"/>
  <c r="J93" i="8"/>
  <c r="L90" i="8"/>
  <c r="J93" i="9"/>
  <c r="K79" i="8"/>
  <c r="K83" i="8"/>
  <c r="K92" i="8"/>
  <c r="K83" i="9"/>
  <c r="K79" i="9"/>
  <c r="K92" i="9"/>
  <c r="K90" i="8"/>
  <c r="K93" i="8"/>
  <c r="J77" i="10"/>
  <c r="J55" i="10" s="1"/>
  <c r="F78" i="6"/>
  <c r="E81" i="6"/>
  <c r="E44" i="6"/>
  <c r="G40" i="6"/>
  <c r="F43" i="6"/>
  <c r="J50" i="9" l="1"/>
  <c r="J52" i="9" s="1"/>
  <c r="J50" i="8"/>
  <c r="J52" i="8" s="1"/>
  <c r="J77" i="8" s="1"/>
  <c r="J76" i="8" s="1"/>
  <c r="H124" i="8"/>
  <c r="I77" i="9"/>
  <c r="I76" i="9" s="1"/>
  <c r="I54" i="9" s="1"/>
  <c r="I76" i="8"/>
  <c r="I54" i="8" s="1"/>
  <c r="J81" i="8"/>
  <c r="K46" i="8" s="1"/>
  <c r="K48" i="8" s="1"/>
  <c r="K81" i="8"/>
  <c r="L46" i="8" s="1"/>
  <c r="K81" i="9"/>
  <c r="L46" i="9" s="1"/>
  <c r="L48" i="9" s="1"/>
  <c r="H124" i="9"/>
  <c r="J81" i="9"/>
  <c r="K46" i="9" s="1"/>
  <c r="K48" i="9" s="1"/>
  <c r="K50" i="9" s="1"/>
  <c r="K55" i="10"/>
  <c r="H122" i="9"/>
  <c r="G43" i="6"/>
  <c r="H40" i="6"/>
  <c r="G78" i="6"/>
  <c r="F81" i="6"/>
  <c r="D85" i="6"/>
  <c r="F44" i="6"/>
  <c r="L50" i="9" l="1"/>
  <c r="L52" i="9" s="1"/>
  <c r="K52" i="9"/>
  <c r="J77" i="9"/>
  <c r="J76" i="9" s="1"/>
  <c r="J54" i="9" s="1"/>
  <c r="K50" i="8"/>
  <c r="K52" i="8" s="1"/>
  <c r="K77" i="8" s="1"/>
  <c r="K76" i="8" s="1"/>
  <c r="K54" i="8" s="1"/>
  <c r="J54" i="8"/>
  <c r="L123" i="10"/>
  <c r="L54" i="9"/>
  <c r="L48" i="8"/>
  <c r="L54" i="8"/>
  <c r="E85" i="6"/>
  <c r="G81" i="6"/>
  <c r="H78" i="6"/>
  <c r="H43" i="6"/>
  <c r="I40" i="6"/>
  <c r="G44" i="6"/>
  <c r="K77" i="9" l="1"/>
  <c r="K76" i="9" s="1"/>
  <c r="K54" i="9" s="1"/>
  <c r="L122" i="9" s="1"/>
  <c r="L50" i="8"/>
  <c r="L52" i="8" s="1"/>
  <c r="L122" i="8"/>
  <c r="B130" i="8"/>
  <c r="H44" i="6"/>
  <c r="F85" i="6"/>
  <c r="H81" i="6"/>
  <c r="I78" i="6"/>
  <c r="J40" i="6"/>
  <c r="I43" i="6"/>
  <c r="I81" i="6" l="1"/>
  <c r="J78" i="6"/>
  <c r="I44" i="6"/>
  <c r="K40" i="6"/>
  <c r="J43" i="6"/>
  <c r="G85" i="6"/>
  <c r="J44" i="6" l="1"/>
  <c r="H85" i="6"/>
  <c r="K43" i="6"/>
  <c r="L40" i="6"/>
  <c r="J81" i="6"/>
  <c r="K78" i="6"/>
  <c r="K81" i="6" s="1"/>
  <c r="I85" i="6" l="1"/>
  <c r="L43" i="6"/>
  <c r="K44" i="6"/>
  <c r="J85" i="6" l="1"/>
  <c r="L44" i="6"/>
  <c r="K85" i="6" l="1"/>
  <c r="L109" i="6"/>
  <c r="AF22" i="4" l="1"/>
  <c r="AF23" i="4" s="1"/>
  <c r="AF26" i="4" s="1"/>
  <c r="H130" i="4"/>
  <c r="H118" i="4"/>
  <c r="AA22" i="4" s="1"/>
  <c r="AA23" i="4" s="1"/>
  <c r="AA26" i="4" s="1"/>
  <c r="H106" i="4"/>
  <c r="AB22" i="4" s="1"/>
  <c r="AB23" i="4" s="1"/>
  <c r="AB26" i="4" s="1"/>
  <c r="H94" i="4"/>
  <c r="AC22" i="4" s="1"/>
  <c r="AC23" i="4" s="1"/>
  <c r="AC26" i="4" s="1"/>
  <c r="H82" i="4"/>
  <c r="AD22" i="4" s="1"/>
  <c r="AD23" i="4" s="1"/>
  <c r="AD26" i="4" s="1"/>
  <c r="H70" i="4"/>
  <c r="AE22" i="4" s="1"/>
  <c r="AE23" i="4" s="1"/>
  <c r="AE26" i="4" s="1"/>
  <c r="H58" i="4"/>
  <c r="H46" i="4"/>
  <c r="AG22" i="4" s="1"/>
  <c r="AG23" i="4" s="1"/>
  <c r="AG26" i="4" s="1"/>
  <c r="H34" i="4"/>
  <c r="AH22" i="4" s="1"/>
  <c r="AH23" i="4" s="1"/>
  <c r="AH26" i="4" s="1"/>
  <c r="H22" i="4"/>
  <c r="AI22" i="4" s="1"/>
  <c r="AI23" i="4" s="1"/>
  <c r="AI26" i="4" s="1"/>
  <c r="H10" i="4"/>
  <c r="AJ22" i="4" s="1"/>
  <c r="AJ23" i="4" s="1"/>
  <c r="AJ26" i="4" s="1"/>
  <c r="C32" i="2"/>
  <c r="C34" i="2" s="1"/>
  <c r="X172"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M167" i="4" s="1"/>
  <c r="J168" i="4"/>
  <c r="J169" i="4"/>
  <c r="J170" i="4"/>
  <c r="J171" i="4"/>
  <c r="J172" i="4"/>
  <c r="J173" i="4"/>
  <c r="J174" i="4"/>
  <c r="J175" i="4"/>
  <c r="J176" i="4"/>
  <c r="J177" i="4"/>
  <c r="J178" i="4"/>
  <c r="J179" i="4"/>
  <c r="J180" i="4"/>
  <c r="J181" i="4"/>
  <c r="J182" i="4"/>
  <c r="J183" i="4"/>
  <c r="G138" i="4"/>
  <c r="G139" i="4"/>
  <c r="T139" i="4" s="1"/>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J137" i="4"/>
  <c r="G137" i="4"/>
  <c r="J136" i="4"/>
  <c r="G136" i="4"/>
  <c r="J135" i="4"/>
  <c r="G135" i="4"/>
  <c r="J134" i="4"/>
  <c r="G134" i="4"/>
  <c r="J133" i="4"/>
  <c r="G133" i="4"/>
  <c r="J132" i="4"/>
  <c r="L132" i="4" s="1"/>
  <c r="G132" i="4"/>
  <c r="J131" i="4"/>
  <c r="G131" i="4"/>
  <c r="J130" i="4"/>
  <c r="G130" i="4"/>
  <c r="J129" i="4"/>
  <c r="G129" i="4"/>
  <c r="J128" i="4"/>
  <c r="G128" i="4"/>
  <c r="J127" i="4"/>
  <c r="P127" i="4" s="1"/>
  <c r="G127" i="4"/>
  <c r="J126" i="4"/>
  <c r="G126" i="4"/>
  <c r="J125" i="4"/>
  <c r="G125" i="4"/>
  <c r="J124" i="4"/>
  <c r="G124" i="4"/>
  <c r="J123" i="4"/>
  <c r="G123" i="4"/>
  <c r="J122" i="4"/>
  <c r="U122" i="4" s="1"/>
  <c r="G122" i="4"/>
  <c r="J121" i="4"/>
  <c r="G121" i="4"/>
  <c r="J120" i="4"/>
  <c r="G120" i="4"/>
  <c r="J119" i="4"/>
  <c r="G119" i="4"/>
  <c r="J118" i="4"/>
  <c r="G118" i="4"/>
  <c r="J117" i="4"/>
  <c r="G117" i="4"/>
  <c r="J116" i="4"/>
  <c r="G116" i="4"/>
  <c r="J115" i="4"/>
  <c r="G115" i="4"/>
  <c r="J114" i="4"/>
  <c r="G114" i="4"/>
  <c r="J113" i="4"/>
  <c r="G113" i="4"/>
  <c r="J112" i="4"/>
  <c r="G112" i="4"/>
  <c r="J111" i="4"/>
  <c r="G111" i="4"/>
  <c r="J110" i="4"/>
  <c r="G110" i="4"/>
  <c r="J109" i="4"/>
  <c r="G109" i="4"/>
  <c r="J108" i="4"/>
  <c r="G108" i="4"/>
  <c r="J107" i="4"/>
  <c r="G107" i="4"/>
  <c r="J106" i="4"/>
  <c r="G106" i="4"/>
  <c r="J105" i="4"/>
  <c r="G105" i="4"/>
  <c r="J104" i="4"/>
  <c r="G104" i="4"/>
  <c r="J103" i="4"/>
  <c r="G103" i="4"/>
  <c r="J102" i="4"/>
  <c r="G102" i="4"/>
  <c r="J101" i="4"/>
  <c r="G101" i="4"/>
  <c r="J100" i="4"/>
  <c r="G100" i="4"/>
  <c r="J99" i="4"/>
  <c r="G99" i="4"/>
  <c r="J98" i="4"/>
  <c r="G98" i="4"/>
  <c r="J97" i="4"/>
  <c r="G97" i="4"/>
  <c r="J96" i="4"/>
  <c r="G96" i="4"/>
  <c r="J95" i="4"/>
  <c r="G95" i="4"/>
  <c r="J94" i="4"/>
  <c r="G94" i="4"/>
  <c r="J93" i="4"/>
  <c r="G93" i="4"/>
  <c r="J92" i="4"/>
  <c r="G92" i="4"/>
  <c r="J91" i="4"/>
  <c r="G91" i="4"/>
  <c r="J90" i="4"/>
  <c r="G90" i="4"/>
  <c r="J89" i="4"/>
  <c r="G89" i="4"/>
  <c r="J88" i="4"/>
  <c r="G88" i="4"/>
  <c r="J87" i="4"/>
  <c r="G87" i="4"/>
  <c r="J86" i="4"/>
  <c r="G86" i="4"/>
  <c r="J85" i="4"/>
  <c r="G85" i="4"/>
  <c r="J84" i="4"/>
  <c r="G84" i="4"/>
  <c r="J83" i="4"/>
  <c r="G83" i="4"/>
  <c r="J82" i="4"/>
  <c r="G82" i="4"/>
  <c r="J81" i="4"/>
  <c r="G81" i="4"/>
  <c r="J80" i="4"/>
  <c r="G80" i="4"/>
  <c r="J79" i="4"/>
  <c r="G79" i="4"/>
  <c r="J78" i="4"/>
  <c r="G78" i="4"/>
  <c r="J77" i="4"/>
  <c r="G77" i="4"/>
  <c r="J76" i="4"/>
  <c r="G76" i="4"/>
  <c r="J75" i="4"/>
  <c r="G75" i="4"/>
  <c r="J74" i="4"/>
  <c r="G74" i="4"/>
  <c r="J73" i="4"/>
  <c r="G73" i="4"/>
  <c r="J72" i="4"/>
  <c r="G72" i="4"/>
  <c r="J71" i="4"/>
  <c r="G71" i="4"/>
  <c r="J70" i="4"/>
  <c r="G70" i="4"/>
  <c r="J69" i="4"/>
  <c r="G69" i="4"/>
  <c r="J68" i="4"/>
  <c r="G68" i="4"/>
  <c r="J67" i="4"/>
  <c r="G67" i="4"/>
  <c r="J66" i="4"/>
  <c r="G66" i="4"/>
  <c r="J65" i="4"/>
  <c r="G65" i="4"/>
  <c r="J64" i="4"/>
  <c r="G64" i="4"/>
  <c r="J63" i="4"/>
  <c r="G63" i="4"/>
  <c r="J62" i="4"/>
  <c r="G62" i="4"/>
  <c r="J61" i="4"/>
  <c r="G61" i="4"/>
  <c r="J60" i="4"/>
  <c r="G60" i="4"/>
  <c r="J59" i="4"/>
  <c r="G59" i="4"/>
  <c r="J58" i="4"/>
  <c r="G58" i="4"/>
  <c r="J57" i="4"/>
  <c r="G57" i="4"/>
  <c r="J56" i="4"/>
  <c r="G56" i="4"/>
  <c r="J55" i="4"/>
  <c r="G55" i="4"/>
  <c r="J54" i="4"/>
  <c r="G54" i="4"/>
  <c r="J53" i="4"/>
  <c r="G53" i="4"/>
  <c r="J52" i="4"/>
  <c r="G52" i="4"/>
  <c r="J51" i="4"/>
  <c r="G51" i="4"/>
  <c r="J50" i="4"/>
  <c r="G50" i="4"/>
  <c r="J49" i="4"/>
  <c r="G49" i="4"/>
  <c r="J48" i="4"/>
  <c r="G48" i="4"/>
  <c r="J47" i="4"/>
  <c r="M47" i="4" s="1"/>
  <c r="G47" i="4"/>
  <c r="J46" i="4"/>
  <c r="G46" i="4"/>
  <c r="J45" i="4"/>
  <c r="G45" i="4"/>
  <c r="J44" i="4"/>
  <c r="G44" i="4"/>
  <c r="J43" i="4"/>
  <c r="G43" i="4"/>
  <c r="J42" i="4"/>
  <c r="G42" i="4"/>
  <c r="J41" i="4"/>
  <c r="G41" i="4"/>
  <c r="J40" i="4"/>
  <c r="G40" i="4"/>
  <c r="J39" i="4"/>
  <c r="G39" i="4"/>
  <c r="J38" i="4"/>
  <c r="G38" i="4"/>
  <c r="J37" i="4"/>
  <c r="G37" i="4"/>
  <c r="J36" i="4"/>
  <c r="G36" i="4"/>
  <c r="J35" i="4"/>
  <c r="G35" i="4"/>
  <c r="J34" i="4"/>
  <c r="G34" i="4"/>
  <c r="J33" i="4"/>
  <c r="G33" i="4"/>
  <c r="J32" i="4"/>
  <c r="G32" i="4"/>
  <c r="J31" i="4"/>
  <c r="G31" i="4"/>
  <c r="J30" i="4"/>
  <c r="G30" i="4"/>
  <c r="J29" i="4"/>
  <c r="G29" i="4"/>
  <c r="J28" i="4"/>
  <c r="G28" i="4"/>
  <c r="J27" i="4"/>
  <c r="T27" i="4" s="1"/>
  <c r="G27" i="4"/>
  <c r="J26" i="4"/>
  <c r="G26" i="4"/>
  <c r="J25" i="4"/>
  <c r="G25" i="4"/>
  <c r="J24" i="4"/>
  <c r="G24" i="4"/>
  <c r="J23" i="4"/>
  <c r="G23" i="4"/>
  <c r="J22" i="4"/>
  <c r="G22" i="4"/>
  <c r="J21" i="4"/>
  <c r="G21" i="4"/>
  <c r="J20" i="4"/>
  <c r="G20" i="4"/>
  <c r="J19" i="4"/>
  <c r="G19" i="4"/>
  <c r="J18" i="4"/>
  <c r="G18" i="4"/>
  <c r="J17" i="4"/>
  <c r="G17" i="4"/>
  <c r="J16" i="4"/>
  <c r="G16" i="4"/>
  <c r="J15" i="4"/>
  <c r="G15" i="4"/>
  <c r="J14" i="4"/>
  <c r="G14" i="4"/>
  <c r="J13" i="4"/>
  <c r="G13" i="4"/>
  <c r="J12" i="4"/>
  <c r="G12" i="4"/>
  <c r="J11" i="4"/>
  <c r="G11" i="4"/>
  <c r="J10" i="4"/>
  <c r="G10" i="4"/>
  <c r="J9" i="4"/>
  <c r="G9" i="4"/>
  <c r="J8" i="4"/>
  <c r="G8" i="4"/>
  <c r="J7" i="4"/>
  <c r="G7" i="4"/>
  <c r="J6" i="4"/>
  <c r="G6" i="4"/>
  <c r="J5" i="4"/>
  <c r="G5" i="4"/>
  <c r="J4" i="4"/>
  <c r="G4" i="4"/>
  <c r="J3" i="4"/>
  <c r="G3" i="4"/>
  <c r="X2" i="4"/>
  <c r="J2" i="4"/>
  <c r="G2" i="4"/>
  <c r="P150" i="4" l="1"/>
  <c r="T108" i="4"/>
  <c r="T113" i="4"/>
  <c r="T123" i="4"/>
  <c r="T128" i="4"/>
  <c r="T133" i="4"/>
  <c r="L170" i="4"/>
  <c r="N170" i="4" s="1"/>
  <c r="L160" i="4"/>
  <c r="L150" i="4"/>
  <c r="T140" i="4"/>
  <c r="V140" i="4" s="1"/>
  <c r="M156" i="4"/>
  <c r="U146" i="4"/>
  <c r="L161" i="4"/>
  <c r="T118" i="4"/>
  <c r="U103" i="4"/>
  <c r="U108" i="4"/>
  <c r="U113" i="4"/>
  <c r="Q123" i="4"/>
  <c r="Q128" i="4"/>
  <c r="M133" i="4"/>
  <c r="L169" i="4"/>
  <c r="L159" i="4"/>
  <c r="P139" i="4"/>
  <c r="M172" i="4"/>
  <c r="M165" i="4"/>
  <c r="M155" i="4"/>
  <c r="U145" i="4"/>
  <c r="T24" i="4"/>
  <c r="T109" i="4"/>
  <c r="P138" i="4"/>
  <c r="U137" i="4"/>
  <c r="T141" i="4"/>
  <c r="T114" i="4"/>
  <c r="P129" i="4"/>
  <c r="M164" i="4"/>
  <c r="P154" i="4"/>
  <c r="U104" i="4"/>
  <c r="U119" i="4"/>
  <c r="U124" i="4"/>
  <c r="V124" i="4" s="1"/>
  <c r="M129" i="4"/>
  <c r="Q134" i="4"/>
  <c r="L157" i="4"/>
  <c r="T147" i="4"/>
  <c r="M143" i="4"/>
  <c r="L171" i="4"/>
  <c r="P124" i="4"/>
  <c r="L134" i="4"/>
  <c r="L148" i="4"/>
  <c r="U144" i="4"/>
  <c r="T105" i="4"/>
  <c r="V105" i="4" s="1"/>
  <c r="T110" i="4"/>
  <c r="P120" i="4"/>
  <c r="R120" i="4" s="1"/>
  <c r="P125" i="4"/>
  <c r="L130" i="4"/>
  <c r="P135" i="4"/>
  <c r="L166" i="4"/>
  <c r="L156" i="4"/>
  <c r="N156" i="4" s="1"/>
  <c r="T146" i="4"/>
  <c r="M171" i="4"/>
  <c r="N171" i="4" s="1"/>
  <c r="M160" i="4"/>
  <c r="N160" i="4" s="1"/>
  <c r="M152" i="4"/>
  <c r="U142" i="4"/>
  <c r="V142" i="4" s="1"/>
  <c r="Q125" i="4"/>
  <c r="Q130" i="4"/>
  <c r="U135" i="4"/>
  <c r="L155" i="4"/>
  <c r="T145" i="4"/>
  <c r="M161" i="4"/>
  <c r="Q151" i="4"/>
  <c r="U141" i="4"/>
  <c r="V141" i="4" s="1"/>
  <c r="T136" i="4"/>
  <c r="P144" i="4"/>
  <c r="M170" i="4"/>
  <c r="Q160" i="4"/>
  <c r="U140" i="4"/>
  <c r="U117" i="4"/>
  <c r="M115" i="4"/>
  <c r="T106" i="4"/>
  <c r="T131" i="4"/>
  <c r="M111" i="4"/>
  <c r="M116" i="4"/>
  <c r="M121" i="4"/>
  <c r="U126" i="4"/>
  <c r="L131" i="4"/>
  <c r="M135" i="4"/>
  <c r="L172" i="4"/>
  <c r="L163" i="4"/>
  <c r="P153" i="4"/>
  <c r="R153" i="4" s="1"/>
  <c r="L143" i="4"/>
  <c r="N143" i="4" s="1"/>
  <c r="M169" i="4"/>
  <c r="P159" i="4"/>
  <c r="L149" i="4"/>
  <c r="N149" i="4" s="1"/>
  <c r="Q139" i="4"/>
  <c r="U105" i="4"/>
  <c r="Q120" i="4"/>
  <c r="T111" i="4"/>
  <c r="T126" i="4"/>
  <c r="T107" i="4"/>
  <c r="T112" i="4"/>
  <c r="V112" i="4" s="1"/>
  <c r="P117" i="4"/>
  <c r="R117" i="4" s="1"/>
  <c r="T127" i="4"/>
  <c r="T132" i="4"/>
  <c r="T137" i="4"/>
  <c r="V137" i="4" s="1"/>
  <c r="L152" i="4"/>
  <c r="T142" i="4"/>
  <c r="Q158" i="4"/>
  <c r="Q148" i="4"/>
  <c r="M138" i="4"/>
  <c r="Q157" i="4"/>
  <c r="M147" i="4"/>
  <c r="T124" i="4"/>
  <c r="V108" i="4"/>
  <c r="V113" i="4"/>
  <c r="V106" i="4"/>
  <c r="N159" i="4"/>
  <c r="N134" i="4"/>
  <c r="R135" i="4"/>
  <c r="N172" i="4"/>
  <c r="N152" i="4"/>
  <c r="N161" i="4"/>
  <c r="U128" i="4"/>
  <c r="V128" i="4" s="1"/>
  <c r="U133" i="4"/>
  <c r="V133" i="4" s="1"/>
  <c r="T138" i="4"/>
  <c r="T143" i="4"/>
  <c r="U147" i="4"/>
  <c r="V147" i="4" s="1"/>
  <c r="M92" i="4"/>
  <c r="M130" i="4"/>
  <c r="M134" i="4"/>
  <c r="L139" i="4"/>
  <c r="M148" i="4"/>
  <c r="N148" i="4" s="1"/>
  <c r="L153" i="4"/>
  <c r="M157" i="4"/>
  <c r="N157" i="4" s="1"/>
  <c r="L162" i="4"/>
  <c r="M166" i="4"/>
  <c r="N166" i="4" s="1"/>
  <c r="Q117" i="4"/>
  <c r="P126" i="4"/>
  <c r="R126" i="4" s="1"/>
  <c r="Q135" i="4"/>
  <c r="P140" i="4"/>
  <c r="Q144" i="4"/>
  <c r="P149" i="4"/>
  <c r="Q153" i="4"/>
  <c r="P158" i="4"/>
  <c r="R158" i="4" s="1"/>
  <c r="U109" i="4"/>
  <c r="U114" i="4"/>
  <c r="V114" i="4" s="1"/>
  <c r="T119" i="4"/>
  <c r="V119" i="4" s="1"/>
  <c r="T102" i="4"/>
  <c r="Q111" i="4"/>
  <c r="L122" i="4"/>
  <c r="L135" i="4"/>
  <c r="N135" i="4" s="1"/>
  <c r="M139" i="4"/>
  <c r="L144" i="4"/>
  <c r="M153" i="4"/>
  <c r="L158" i="4"/>
  <c r="N158" i="4" s="1"/>
  <c r="M162" i="4"/>
  <c r="L167" i="4"/>
  <c r="N167" i="4" s="1"/>
  <c r="P118" i="4"/>
  <c r="P122" i="4"/>
  <c r="Q126" i="4"/>
  <c r="P131" i="4"/>
  <c r="Q140" i="4"/>
  <c r="P145" i="4"/>
  <c r="R145" i="4" s="1"/>
  <c r="Q149" i="4"/>
  <c r="T129" i="4"/>
  <c r="T134" i="4"/>
  <c r="U138" i="4"/>
  <c r="U143" i="4"/>
  <c r="T148" i="4"/>
  <c r="M158" i="4"/>
  <c r="P136" i="4"/>
  <c r="R136" i="4" s="1"/>
  <c r="Q145" i="4"/>
  <c r="Q154" i="4"/>
  <c r="R154" i="4" s="1"/>
  <c r="T120" i="4"/>
  <c r="U129" i="4"/>
  <c r="V129" i="4" s="1"/>
  <c r="U134" i="4"/>
  <c r="M127" i="4"/>
  <c r="M131" i="4"/>
  <c r="N131" i="4" s="1"/>
  <c r="L136" i="4"/>
  <c r="M140" i="4"/>
  <c r="L145" i="4"/>
  <c r="M149" i="4"/>
  <c r="L154" i="4"/>
  <c r="M163" i="4"/>
  <c r="N163" i="4" s="1"/>
  <c r="L168" i="4"/>
  <c r="P119" i="4"/>
  <c r="R119" i="4" s="1"/>
  <c r="P123" i="4"/>
  <c r="R123" i="4" s="1"/>
  <c r="Q127" i="4"/>
  <c r="R127" i="4" s="1"/>
  <c r="P132" i="4"/>
  <c r="Q136" i="4"/>
  <c r="P141" i="4"/>
  <c r="Q150" i="4"/>
  <c r="R150" i="4" s="1"/>
  <c r="P155" i="4"/>
  <c r="Q159" i="4"/>
  <c r="R159" i="4" s="1"/>
  <c r="U115" i="4"/>
  <c r="U120" i="4"/>
  <c r="T125" i="4"/>
  <c r="T130" i="4"/>
  <c r="V130" i="4" s="1"/>
  <c r="U139" i="4"/>
  <c r="V139" i="4" s="1"/>
  <c r="U106" i="4"/>
  <c r="U130" i="4"/>
  <c r="L140" i="4"/>
  <c r="N140" i="4" s="1"/>
  <c r="U148" i="4"/>
  <c r="U34" i="4"/>
  <c r="M118" i="4"/>
  <c r="M136" i="4"/>
  <c r="P137" i="4"/>
  <c r="Q141" i="4"/>
  <c r="P160" i="4"/>
  <c r="U111" i="4"/>
  <c r="V111" i="4" s="1"/>
  <c r="T121" i="4"/>
  <c r="T135" i="4"/>
  <c r="V135" i="4" s="1"/>
  <c r="M128" i="4"/>
  <c r="M132" i="4"/>
  <c r="N132" i="4" s="1"/>
  <c r="L137" i="4"/>
  <c r="N137" i="4" s="1"/>
  <c r="M141" i="4"/>
  <c r="L146" i="4"/>
  <c r="N146" i="4" s="1"/>
  <c r="M150" i="4"/>
  <c r="N150" i="4" s="1"/>
  <c r="M159" i="4"/>
  <c r="L164" i="4"/>
  <c r="N164" i="4" s="1"/>
  <c r="Q115" i="4"/>
  <c r="P133" i="4"/>
  <c r="Q137" i="4"/>
  <c r="P142" i="4"/>
  <c r="Q146" i="4"/>
  <c r="P151" i="4"/>
  <c r="R151" i="4" s="1"/>
  <c r="U116" i="4"/>
  <c r="U121" i="4"/>
  <c r="V121" i="4" s="1"/>
  <c r="Q131" i="4"/>
  <c r="M123" i="4"/>
  <c r="L128" i="4"/>
  <c r="L141" i="4"/>
  <c r="M145" i="4"/>
  <c r="N145" i="4" s="1"/>
  <c r="M154" i="4"/>
  <c r="P128" i="4"/>
  <c r="R128" i="4" s="1"/>
  <c r="Q132" i="4"/>
  <c r="R132" i="4" s="1"/>
  <c r="P146" i="4"/>
  <c r="R146" i="4" s="1"/>
  <c r="Q155" i="4"/>
  <c r="T116" i="4"/>
  <c r="U125" i="4"/>
  <c r="M5" i="4"/>
  <c r="M19" i="4"/>
  <c r="U25" i="4"/>
  <c r="Q45" i="4"/>
  <c r="U90" i="4"/>
  <c r="M104" i="4"/>
  <c r="M124" i="4"/>
  <c r="L133" i="4"/>
  <c r="M137" i="4"/>
  <c r="L142" i="4"/>
  <c r="M146" i="4"/>
  <c r="L151" i="4"/>
  <c r="Q124" i="4"/>
  <c r="R124" i="4" s="1"/>
  <c r="Q133" i="4"/>
  <c r="Q142" i="4"/>
  <c r="P147" i="4"/>
  <c r="P156" i="4"/>
  <c r="R156" i="4" s="1"/>
  <c r="T103" i="4"/>
  <c r="V103" i="4" s="1"/>
  <c r="U107" i="4"/>
  <c r="U112" i="4"/>
  <c r="T117" i="4"/>
  <c r="V117" i="4" s="1"/>
  <c r="T122" i="4"/>
  <c r="V122" i="4" s="1"/>
  <c r="U131" i="4"/>
  <c r="V131" i="4" s="1"/>
  <c r="L127" i="4"/>
  <c r="N127" i="4" s="1"/>
  <c r="M144" i="4"/>
  <c r="Q122" i="4"/>
  <c r="R122" i="4" s="1"/>
  <c r="M168" i="4"/>
  <c r="L129" i="4"/>
  <c r="M142" i="4"/>
  <c r="L147" i="4"/>
  <c r="M151" i="4"/>
  <c r="L165" i="4"/>
  <c r="N165" i="4" s="1"/>
  <c r="P116" i="4"/>
  <c r="Q129" i="4"/>
  <c r="R129" i="4" s="1"/>
  <c r="P134" i="4"/>
  <c r="R134" i="4" s="1"/>
  <c r="Q138" i="4"/>
  <c r="P143" i="4"/>
  <c r="R143" i="4" s="1"/>
  <c r="Q147" i="4"/>
  <c r="P152" i="4"/>
  <c r="Q156" i="4"/>
  <c r="U136" i="4"/>
  <c r="V136" i="4" s="1"/>
  <c r="U43" i="4"/>
  <c r="Q118" i="4"/>
  <c r="U110" i="4"/>
  <c r="V110" i="4" s="1"/>
  <c r="T144" i="4"/>
  <c r="V144" i="4" s="1"/>
  <c r="T2" i="4"/>
  <c r="P115" i="4"/>
  <c r="R115" i="4" s="1"/>
  <c r="U35" i="4"/>
  <c r="M86" i="4"/>
  <c r="M120" i="4"/>
  <c r="P121" i="4"/>
  <c r="P148" i="4"/>
  <c r="R148" i="4" s="1"/>
  <c r="Q152" i="4"/>
  <c r="R152" i="4" s="1"/>
  <c r="U127" i="4"/>
  <c r="V127" i="4" s="1"/>
  <c r="U132" i="4"/>
  <c r="V132" i="4" s="1"/>
  <c r="U93" i="4"/>
  <c r="T115" i="4"/>
  <c r="M126" i="4"/>
  <c r="Q119" i="4"/>
  <c r="L138" i="4"/>
  <c r="L56" i="4"/>
  <c r="U101" i="4"/>
  <c r="M117" i="4"/>
  <c r="Q116" i="4"/>
  <c r="P130" i="4"/>
  <c r="R130" i="4" s="1"/>
  <c r="Q143" i="4"/>
  <c r="P157" i="4"/>
  <c r="T104" i="4"/>
  <c r="V104" i="4" s="1"/>
  <c r="Q121" i="4"/>
  <c r="U118" i="4"/>
  <c r="U123" i="4"/>
  <c r="V123" i="4" s="1"/>
  <c r="P63" i="4"/>
  <c r="Q61" i="4"/>
  <c r="L123" i="4"/>
  <c r="N123" i="4" s="1"/>
  <c r="Q9" i="4"/>
  <c r="Q17" i="4"/>
  <c r="T18" i="4"/>
  <c r="U27" i="4"/>
  <c r="Q86" i="4"/>
  <c r="U95" i="4"/>
  <c r="Q99" i="4"/>
  <c r="U102" i="4"/>
  <c r="V102" i="4" s="1"/>
  <c r="L116" i="4"/>
  <c r="N116" i="4" s="1"/>
  <c r="M125" i="4"/>
  <c r="U17" i="4"/>
  <c r="P55" i="4"/>
  <c r="U53" i="4"/>
  <c r="M63" i="4"/>
  <c r="Q91" i="4"/>
  <c r="Q107" i="4"/>
  <c r="P112" i="4"/>
  <c r="M119" i="4"/>
  <c r="M122" i="4"/>
  <c r="N122" i="4" s="1"/>
  <c r="L126" i="4"/>
  <c r="U9" i="4"/>
  <c r="P10" i="4"/>
  <c r="L14" i="4"/>
  <c r="U29" i="4"/>
  <c r="M42" i="4"/>
  <c r="L69" i="4"/>
  <c r="M96" i="4"/>
  <c r="M100" i="4"/>
  <c r="Q112" i="4"/>
  <c r="L120" i="4"/>
  <c r="N120" i="4" s="1"/>
  <c r="Q2" i="4"/>
  <c r="P6" i="4"/>
  <c r="Q18" i="4"/>
  <c r="L38" i="4"/>
  <c r="P87" i="4"/>
  <c r="Q96" i="4"/>
  <c r="L117" i="4"/>
  <c r="Q5" i="4"/>
  <c r="U6" i="4"/>
  <c r="M18" i="4"/>
  <c r="Q22" i="4"/>
  <c r="T26" i="4"/>
  <c r="L58" i="4"/>
  <c r="M84" i="4"/>
  <c r="L102" i="4"/>
  <c r="M109" i="4"/>
  <c r="Q113" i="4"/>
  <c r="U15" i="4"/>
  <c r="M101" i="4"/>
  <c r="M105" i="4"/>
  <c r="L119" i="4"/>
  <c r="L124" i="4"/>
  <c r="N124" i="4" s="1"/>
  <c r="U7" i="4"/>
  <c r="Q31" i="4"/>
  <c r="L66" i="4"/>
  <c r="P71" i="4"/>
  <c r="Q72" i="4"/>
  <c r="Q97" i="4"/>
  <c r="M110" i="4"/>
  <c r="M114" i="4"/>
  <c r="Q33" i="4"/>
  <c r="M3" i="4"/>
  <c r="M12" i="4"/>
  <c r="Q16" i="4"/>
  <c r="P53" i="4"/>
  <c r="Q52" i="4"/>
  <c r="M66" i="4"/>
  <c r="T76" i="4"/>
  <c r="M85" i="4"/>
  <c r="M89" i="4"/>
  <c r="T94" i="4"/>
  <c r="Q105" i="4"/>
  <c r="L115" i="4"/>
  <c r="N115" i="4" s="1"/>
  <c r="P3" i="4"/>
  <c r="M8" i="4"/>
  <c r="Q12" i="4"/>
  <c r="U16" i="4"/>
  <c r="Q32" i="4"/>
  <c r="P36" i="4"/>
  <c r="L90" i="4"/>
  <c r="M94" i="4"/>
  <c r="U98" i="4"/>
  <c r="M102" i="4"/>
  <c r="L125" i="4"/>
  <c r="P25" i="4"/>
  <c r="P28" i="4"/>
  <c r="T69" i="4"/>
  <c r="P98" i="4"/>
  <c r="L3" i="4"/>
  <c r="L6" i="4"/>
  <c r="T10" i="4"/>
  <c r="P11" i="4"/>
  <c r="P18" i="4"/>
  <c r="P21" i="4"/>
  <c r="P33" i="4"/>
  <c r="L87" i="4"/>
  <c r="P113" i="4"/>
  <c r="R113" i="4" s="1"/>
  <c r="P109" i="4"/>
  <c r="T7" i="4"/>
  <c r="L11" i="4"/>
  <c r="P49" i="4"/>
  <c r="L54" i="4"/>
  <c r="T91" i="4"/>
  <c r="L95" i="4"/>
  <c r="L98" i="4"/>
  <c r="P105" i="4"/>
  <c r="L109" i="4"/>
  <c r="L121" i="4"/>
  <c r="N121" i="4" s="1"/>
  <c r="L118" i="4"/>
  <c r="N118" i="4" s="1"/>
  <c r="T15" i="4"/>
  <c r="P34" i="4"/>
  <c r="P42" i="4"/>
  <c r="T99" i="4"/>
  <c r="P106" i="4"/>
  <c r="P110" i="4"/>
  <c r="L114" i="4"/>
  <c r="L4" i="4"/>
  <c r="T8" i="4"/>
  <c r="P30" i="4"/>
  <c r="P85" i="4"/>
  <c r="P92" i="4"/>
  <c r="T96" i="4"/>
  <c r="P90" i="4"/>
  <c r="T16" i="4"/>
  <c r="P19" i="4"/>
  <c r="P100" i="4"/>
  <c r="L103" i="4"/>
  <c r="P107" i="4"/>
  <c r="P111" i="4"/>
  <c r="R111" i="4" s="1"/>
  <c r="P9" i="4"/>
  <c r="R9" i="4" s="1"/>
  <c r="T23" i="4"/>
  <c r="L93" i="4"/>
  <c r="P2" i="4"/>
  <c r="R2" i="4" s="1"/>
  <c r="L13" i="4"/>
  <c r="P56" i="4"/>
  <c r="T85" i="4"/>
  <c r="T89" i="4"/>
  <c r="L101" i="4"/>
  <c r="L104" i="4"/>
  <c r="N104" i="4" s="1"/>
  <c r="L108" i="4"/>
  <c r="P17" i="4"/>
  <c r="P27" i="4"/>
  <c r="P37" i="4"/>
  <c r="L77" i="4"/>
  <c r="P86" i="4"/>
  <c r="R86" i="4" s="1"/>
  <c r="M4" i="4"/>
  <c r="L5" i="4"/>
  <c r="N5" i="4" s="1"/>
  <c r="U8" i="4"/>
  <c r="T9" i="4"/>
  <c r="V9" i="4" s="1"/>
  <c r="Q11" i="4"/>
  <c r="P12" i="4"/>
  <c r="R12" i="4" s="1"/>
  <c r="M13" i="4"/>
  <c r="T17" i="4"/>
  <c r="Q19" i="4"/>
  <c r="Q20" i="4"/>
  <c r="Q21" i="4"/>
  <c r="P22" i="4"/>
  <c r="P23" i="4"/>
  <c r="T25" i="4"/>
  <c r="V25" i="4" s="1"/>
  <c r="T28" i="4"/>
  <c r="L32" i="4"/>
  <c r="T34" i="4"/>
  <c r="P40" i="4"/>
  <c r="T40" i="4"/>
  <c r="T51" i="4"/>
  <c r="U50" i="4"/>
  <c r="M48" i="4"/>
  <c r="Q51" i="4"/>
  <c r="P51" i="4"/>
  <c r="Q50" i="4"/>
  <c r="M51" i="4"/>
  <c r="Q83" i="4"/>
  <c r="P83" i="4"/>
  <c r="Q82" i="4"/>
  <c r="T80" i="4"/>
  <c r="U79" i="4"/>
  <c r="U78" i="4"/>
  <c r="M83" i="4"/>
  <c r="P81" i="4"/>
  <c r="Q80" i="4"/>
  <c r="T78" i="4"/>
  <c r="U77" i="4"/>
  <c r="L83" i="4"/>
  <c r="M82" i="4"/>
  <c r="P80" i="4"/>
  <c r="Q79" i="4"/>
  <c r="U83" i="4"/>
  <c r="L80" i="4"/>
  <c r="M79" i="4"/>
  <c r="V27" i="4"/>
  <c r="M40" i="4"/>
  <c r="U40" i="4"/>
  <c r="Q40" i="4"/>
  <c r="P44" i="4"/>
  <c r="L44" i="4"/>
  <c r="P47" i="4"/>
  <c r="L49" i="4"/>
  <c r="P74" i="4"/>
  <c r="T72" i="4"/>
  <c r="P73" i="4"/>
  <c r="R73" i="4" s="1"/>
  <c r="P72" i="4"/>
  <c r="R72" i="4" s="1"/>
  <c r="T74" i="4"/>
  <c r="T73" i="4"/>
  <c r="P84" i="4"/>
  <c r="L84" i="4"/>
  <c r="N84" i="4" s="1"/>
  <c r="T84" i="4"/>
  <c r="U2" i="4"/>
  <c r="V2" i="4" s="1"/>
  <c r="Q3" i="4"/>
  <c r="R3" i="4" s="1"/>
  <c r="P4" i="4"/>
  <c r="M6" i="4"/>
  <c r="L7" i="4"/>
  <c r="U10" i="4"/>
  <c r="T11" i="4"/>
  <c r="P13" i="4"/>
  <c r="M14" i="4"/>
  <c r="L15" i="4"/>
  <c r="U18" i="4"/>
  <c r="T19" i="4"/>
  <c r="T20" i="4"/>
  <c r="T21" i="4"/>
  <c r="T22" i="4"/>
  <c r="U26" i="4"/>
  <c r="V26" i="4" s="1"/>
  <c r="T29" i="4"/>
  <c r="V29" i="4" s="1"/>
  <c r="L29" i="4"/>
  <c r="L31" i="4"/>
  <c r="U33" i="4"/>
  <c r="U37" i="4"/>
  <c r="M38" i="4"/>
  <c r="N38" i="4" s="1"/>
  <c r="L40" i="4"/>
  <c r="L42" i="4"/>
  <c r="N42" i="4" s="1"/>
  <c r="U45" i="4"/>
  <c r="U51" i="4"/>
  <c r="L59" i="4"/>
  <c r="P64" i="4"/>
  <c r="L72" i="4"/>
  <c r="M74" i="4"/>
  <c r="T77" i="4"/>
  <c r="Q4" i="4"/>
  <c r="P5" i="4"/>
  <c r="R5" i="4" s="1"/>
  <c r="M7" i="4"/>
  <c r="L8" i="4"/>
  <c r="U11" i="4"/>
  <c r="T12" i="4"/>
  <c r="Q13" i="4"/>
  <c r="M15" i="4"/>
  <c r="L16" i="4"/>
  <c r="U19" i="4"/>
  <c r="U20" i="4"/>
  <c r="U21" i="4"/>
  <c r="U22" i="4"/>
  <c r="U23" i="4"/>
  <c r="L30" i="4"/>
  <c r="M31" i="4"/>
  <c r="L35" i="4"/>
  <c r="L36" i="4"/>
  <c r="L37" i="4"/>
  <c r="T42" i="4"/>
  <c r="Q44" i="4"/>
  <c r="L46" i="4"/>
  <c r="P48" i="4"/>
  <c r="P52" i="4"/>
  <c r="L52" i="4"/>
  <c r="M59" i="4"/>
  <c r="Q59" i="4"/>
  <c r="T61" i="4"/>
  <c r="L67" i="4"/>
  <c r="U69" i="4"/>
  <c r="V69" i="4" s="1"/>
  <c r="U72" i="4"/>
  <c r="L74" i="4"/>
  <c r="N74" i="4" s="1"/>
  <c r="N109" i="4"/>
  <c r="T3" i="4"/>
  <c r="L9" i="4"/>
  <c r="U12" i="4"/>
  <c r="P14" i="4"/>
  <c r="M16" i="4"/>
  <c r="L17" i="4"/>
  <c r="P24" i="4"/>
  <c r="P26" i="4"/>
  <c r="U28" i="4"/>
  <c r="M28" i="4"/>
  <c r="M29" i="4"/>
  <c r="M30" i="4"/>
  <c r="P31" i="4"/>
  <c r="R31" i="4" s="1"/>
  <c r="T32" i="4"/>
  <c r="Q35" i="4"/>
  <c r="M36" i="4"/>
  <c r="Q38" i="4"/>
  <c r="U42" i="4"/>
  <c r="U46" i="4"/>
  <c r="P46" i="4"/>
  <c r="P50" i="4"/>
  <c r="U54" i="4"/>
  <c r="U59" i="4"/>
  <c r="L64" i="4"/>
  <c r="M67" i="4"/>
  <c r="Q67" i="4"/>
  <c r="P70" i="4"/>
  <c r="P78" i="4"/>
  <c r="T81" i="4"/>
  <c r="L2" i="4"/>
  <c r="U3" i="4"/>
  <c r="T4" i="4"/>
  <c r="Q6" i="4"/>
  <c r="P7" i="4"/>
  <c r="M9" i="4"/>
  <c r="L10" i="4"/>
  <c r="T13" i="4"/>
  <c r="Q14" i="4"/>
  <c r="P15" i="4"/>
  <c r="M17" i="4"/>
  <c r="L18" i="4"/>
  <c r="N18" i="4" s="1"/>
  <c r="L21" i="4"/>
  <c r="U24" i="4"/>
  <c r="V24" i="4" s="1"/>
  <c r="M25" i="4"/>
  <c r="L28" i="4"/>
  <c r="M34" i="4"/>
  <c r="M35" i="4"/>
  <c r="L41" i="4"/>
  <c r="T41" i="4"/>
  <c r="P41" i="4"/>
  <c r="T44" i="4"/>
  <c r="L48" i="4"/>
  <c r="N48" i="4" s="1"/>
  <c r="M50" i="4"/>
  <c r="L60" i="4"/>
  <c r="P60" i="4"/>
  <c r="U62" i="4"/>
  <c r="U67" i="4"/>
  <c r="L75" i="4"/>
  <c r="N75" i="4" s="1"/>
  <c r="M78" i="4"/>
  <c r="M81" i="4"/>
  <c r="M2" i="4"/>
  <c r="U4" i="4"/>
  <c r="T5" i="4"/>
  <c r="Q7" i="4"/>
  <c r="P8" i="4"/>
  <c r="R8" i="4" s="1"/>
  <c r="M10" i="4"/>
  <c r="U13" i="4"/>
  <c r="Q15" i="4"/>
  <c r="P16" i="4"/>
  <c r="R16" i="4" s="1"/>
  <c r="L19" i="4"/>
  <c r="N19" i="4" s="1"/>
  <c r="M20" i="4"/>
  <c r="Q23" i="4"/>
  <c r="L24" i="4"/>
  <c r="L25" i="4"/>
  <c r="N25" i="4" s="1"/>
  <c r="L26" i="4"/>
  <c r="L27" i="4"/>
  <c r="P29" i="4"/>
  <c r="Q30" i="4"/>
  <c r="T31" i="4"/>
  <c r="L33" i="4"/>
  <c r="T33" i="4"/>
  <c r="V33" i="4" s="1"/>
  <c r="L34" i="4"/>
  <c r="Q36" i="4"/>
  <c r="Q37" i="4"/>
  <c r="Q39" i="4"/>
  <c r="U39" i="4"/>
  <c r="T39" i="4"/>
  <c r="V39" i="4" s="1"/>
  <c r="U38" i="4"/>
  <c r="Q41" i="4"/>
  <c r="L43" i="4"/>
  <c r="Q46" i="4"/>
  <c r="L50" i="4"/>
  <c r="N50" i="4" s="1"/>
  <c r="T52" i="4"/>
  <c r="Q54" i="4"/>
  <c r="Q57" i="4"/>
  <c r="P57" i="4"/>
  <c r="Q56" i="4"/>
  <c r="R56" i="4" s="1"/>
  <c r="T54" i="4"/>
  <c r="L57" i="4"/>
  <c r="M56" i="4"/>
  <c r="N56" i="4" s="1"/>
  <c r="P54" i="4"/>
  <c r="Q53" i="4"/>
  <c r="U57" i="4"/>
  <c r="T57" i="4"/>
  <c r="U56" i="4"/>
  <c r="T56" i="4"/>
  <c r="U55" i="4"/>
  <c r="M60" i="4"/>
  <c r="L68" i="4"/>
  <c r="P68" i="4"/>
  <c r="Q70" i="4"/>
  <c r="M75" i="4"/>
  <c r="Q73" i="4"/>
  <c r="U71" i="4"/>
  <c r="M73" i="4"/>
  <c r="Q71" i="4"/>
  <c r="Q75" i="4"/>
  <c r="Q78" i="4"/>
  <c r="P82" i="4"/>
  <c r="R82" i="4" s="1"/>
  <c r="U5" i="4"/>
  <c r="T6" i="4"/>
  <c r="Q8" i="4"/>
  <c r="M11" i="4"/>
  <c r="L12" i="4"/>
  <c r="T14" i="4"/>
  <c r="L20" i="4"/>
  <c r="M21" i="4"/>
  <c r="L22" i="4"/>
  <c r="L23" i="4"/>
  <c r="M24" i="4"/>
  <c r="M26" i="4"/>
  <c r="M27" i="4"/>
  <c r="Q29" i="4"/>
  <c r="T30" i="4"/>
  <c r="U31" i="4"/>
  <c r="P35" i="4"/>
  <c r="R35" i="4" s="1"/>
  <c r="T37" i="4"/>
  <c r="L39" i="4"/>
  <c r="M41" i="4"/>
  <c r="Q43" i="4"/>
  <c r="P43" i="4"/>
  <c r="Q42" i="4"/>
  <c r="M43" i="4"/>
  <c r="T46" i="4"/>
  <c r="Q48" i="4"/>
  <c r="T50" i="4"/>
  <c r="V50" i="4" s="1"/>
  <c r="T55" i="4"/>
  <c r="V55" i="4" s="1"/>
  <c r="M57" i="4"/>
  <c r="T60" i="4"/>
  <c r="Q62" i="4"/>
  <c r="Q65" i="4"/>
  <c r="P65" i="4"/>
  <c r="Q64" i="4"/>
  <c r="T62" i="4"/>
  <c r="L65" i="4"/>
  <c r="M64" i="4"/>
  <c r="P62" i="4"/>
  <c r="U60" i="4"/>
  <c r="U65" i="4"/>
  <c r="L62" i="4"/>
  <c r="Q60" i="4"/>
  <c r="T65" i="4"/>
  <c r="U64" i="4"/>
  <c r="L61" i="4"/>
  <c r="M68" i="4"/>
  <c r="T70" i="4"/>
  <c r="U75" i="4"/>
  <c r="L79" i="4"/>
  <c r="U82" i="4"/>
  <c r="U14" i="4"/>
  <c r="M22" i="4"/>
  <c r="M23" i="4"/>
  <c r="Q28" i="4"/>
  <c r="U30" i="4"/>
  <c r="P32" i="4"/>
  <c r="M33" i="4"/>
  <c r="T36" i="4"/>
  <c r="M39" i="4"/>
  <c r="U41" i="4"/>
  <c r="T45" i="4"/>
  <c r="V45" i="4" s="1"/>
  <c r="T47" i="4"/>
  <c r="Q55" i="4"/>
  <c r="P58" i="4"/>
  <c r="T58" i="4"/>
  <c r="T63" i="4"/>
  <c r="M65" i="4"/>
  <c r="T68" i="4"/>
  <c r="L76" i="4"/>
  <c r="T79" i="4"/>
  <c r="V79" i="4" s="1"/>
  <c r="L82" i="4"/>
  <c r="N82" i="4" s="1"/>
  <c r="Q10" i="4"/>
  <c r="P20" i="4"/>
  <c r="R20" i="4" s="1"/>
  <c r="Q24" i="4"/>
  <c r="Q25" i="4"/>
  <c r="Q26" i="4"/>
  <c r="Q27" i="4"/>
  <c r="M32" i="4"/>
  <c r="U32" i="4"/>
  <c r="Q34" i="4"/>
  <c r="R34" i="4" s="1"/>
  <c r="T35" i="4"/>
  <c r="V35" i="4" s="1"/>
  <c r="P38" i="4"/>
  <c r="R38" i="4" s="1"/>
  <c r="P39" i="4"/>
  <c r="T43" i="4"/>
  <c r="V43" i="4" s="1"/>
  <c r="P45" i="4"/>
  <c r="Q47" i="4"/>
  <c r="L51" i="4"/>
  <c r="T53" i="4"/>
  <c r="M55" i="4"/>
  <c r="M58" i="4"/>
  <c r="P61" i="4"/>
  <c r="Q63" i="4"/>
  <c r="P66" i="4"/>
  <c r="T66" i="4"/>
  <c r="T71" i="4"/>
  <c r="L73" i="4"/>
  <c r="M76" i="4"/>
  <c r="P79" i="4"/>
  <c r="R79" i="4" s="1"/>
  <c r="T83" i="4"/>
  <c r="V83" i="4" s="1"/>
  <c r="T38" i="4"/>
  <c r="U47" i="4"/>
  <c r="T48" i="4"/>
  <c r="Q49" i="4"/>
  <c r="Q58" i="4"/>
  <c r="P59" i="4"/>
  <c r="R59" i="4" s="1"/>
  <c r="U63" i="4"/>
  <c r="T64" i="4"/>
  <c r="Q66" i="4"/>
  <c r="P67" i="4"/>
  <c r="M69" i="4"/>
  <c r="L70" i="4"/>
  <c r="Q74" i="4"/>
  <c r="P75" i="4"/>
  <c r="M77" i="4"/>
  <c r="N77" i="4" s="1"/>
  <c r="L78" i="4"/>
  <c r="U81" i="4"/>
  <c r="T82" i="4"/>
  <c r="Q84" i="4"/>
  <c r="L86" i="4"/>
  <c r="N86" i="4" s="1"/>
  <c r="U89" i="4"/>
  <c r="V89" i="4" s="1"/>
  <c r="T90" i="4"/>
  <c r="V90" i="4" s="1"/>
  <c r="Q92" i="4"/>
  <c r="R92" i="4" s="1"/>
  <c r="P93" i="4"/>
  <c r="M95" i="4"/>
  <c r="N95" i="4" s="1"/>
  <c r="L96" i="4"/>
  <c r="N96" i="4" s="1"/>
  <c r="T98" i="4"/>
  <c r="Q100" i="4"/>
  <c r="P101" i="4"/>
  <c r="R101" i="4" s="1"/>
  <c r="M103" i="4"/>
  <c r="N103" i="4" s="1"/>
  <c r="P104" i="4"/>
  <c r="M108" i="4"/>
  <c r="N108" i="4" s="1"/>
  <c r="Q110" i="4"/>
  <c r="L113" i="4"/>
  <c r="M44" i="4"/>
  <c r="L45" i="4"/>
  <c r="U48" i="4"/>
  <c r="M52" i="4"/>
  <c r="L53" i="4"/>
  <c r="N53" i="4" s="1"/>
  <c r="M61" i="4"/>
  <c r="M70" i="4"/>
  <c r="L71" i="4"/>
  <c r="U73" i="4"/>
  <c r="P76" i="4"/>
  <c r="Q93" i="4"/>
  <c r="P94" i="4"/>
  <c r="Q101" i="4"/>
  <c r="P102" i="4"/>
  <c r="Q104" i="4"/>
  <c r="L107" i="4"/>
  <c r="M113" i="4"/>
  <c r="P114" i="4"/>
  <c r="M45" i="4"/>
  <c r="T49" i="4"/>
  <c r="M53" i="4"/>
  <c r="Q68" i="4"/>
  <c r="P69" i="4"/>
  <c r="M71" i="4"/>
  <c r="Q76" i="4"/>
  <c r="P77" i="4"/>
  <c r="Q85" i="4"/>
  <c r="R85" i="4" s="1"/>
  <c r="M87" i="4"/>
  <c r="L88" i="4"/>
  <c r="U91" i="4"/>
  <c r="T92" i="4"/>
  <c r="Q94" i="4"/>
  <c r="P95" i="4"/>
  <c r="L97" i="4"/>
  <c r="N97" i="4" s="1"/>
  <c r="U99" i="4"/>
  <c r="T100" i="4"/>
  <c r="Q102" i="4"/>
  <c r="P103" i="4"/>
  <c r="M107" i="4"/>
  <c r="P108" i="4"/>
  <c r="Q109" i="4"/>
  <c r="L112" i="4"/>
  <c r="Q114" i="4"/>
  <c r="M37" i="4"/>
  <c r="M46" i="4"/>
  <c r="L47" i="4"/>
  <c r="N47" i="4" s="1"/>
  <c r="U49" i="4"/>
  <c r="M54" i="4"/>
  <c r="N54" i="4" s="1"/>
  <c r="L55" i="4"/>
  <c r="U58" i="4"/>
  <c r="T59" i="4"/>
  <c r="M62" i="4"/>
  <c r="L63" i="4"/>
  <c r="N63" i="4" s="1"/>
  <c r="U66" i="4"/>
  <c r="T67" i="4"/>
  <c r="V67" i="4" s="1"/>
  <c r="Q69" i="4"/>
  <c r="M72" i="4"/>
  <c r="U74" i="4"/>
  <c r="T75" i="4"/>
  <c r="Q77" i="4"/>
  <c r="M80" i="4"/>
  <c r="L81" i="4"/>
  <c r="U84" i="4"/>
  <c r="M88" i="4"/>
  <c r="L89" i="4"/>
  <c r="N89" i="4" s="1"/>
  <c r="U92" i="4"/>
  <c r="T93" i="4"/>
  <c r="V93" i="4" s="1"/>
  <c r="Q95" i="4"/>
  <c r="P96" i="4"/>
  <c r="M97" i="4"/>
  <c r="U100" i="4"/>
  <c r="T101" i="4"/>
  <c r="V101" i="4" s="1"/>
  <c r="Q103" i="4"/>
  <c r="L106" i="4"/>
  <c r="Q108" i="4"/>
  <c r="M112" i="4"/>
  <c r="M106" i="4"/>
  <c r="L111" i="4"/>
  <c r="U68" i="4"/>
  <c r="U76" i="4"/>
  <c r="U85" i="4"/>
  <c r="Q87" i="4"/>
  <c r="R87" i="4" s="1"/>
  <c r="P88" i="4"/>
  <c r="M90" i="4"/>
  <c r="N90" i="4" s="1"/>
  <c r="L91" i="4"/>
  <c r="N91" i="4" s="1"/>
  <c r="U94" i="4"/>
  <c r="V94" i="4" s="1"/>
  <c r="T95" i="4"/>
  <c r="P97" i="4"/>
  <c r="M98" i="4"/>
  <c r="L99" i="4"/>
  <c r="L105" i="4"/>
  <c r="N105" i="4" s="1"/>
  <c r="T86" i="4"/>
  <c r="Q88" i="4"/>
  <c r="P89" i="4"/>
  <c r="M91" i="4"/>
  <c r="L92" i="4"/>
  <c r="N92" i="4" s="1"/>
  <c r="M99" i="4"/>
  <c r="L100" i="4"/>
  <c r="N100" i="4" s="1"/>
  <c r="L110" i="4"/>
  <c r="U36" i="4"/>
  <c r="U44" i="4"/>
  <c r="M49" i="4"/>
  <c r="U52" i="4"/>
  <c r="U61" i="4"/>
  <c r="U70" i="4"/>
  <c r="Q81" i="4"/>
  <c r="U86" i="4"/>
  <c r="T87" i="4"/>
  <c r="Q89" i="4"/>
  <c r="U96" i="4"/>
  <c r="Q106" i="4"/>
  <c r="R106" i="4" s="1"/>
  <c r="L85" i="4"/>
  <c r="U87" i="4"/>
  <c r="T88" i="4"/>
  <c r="V88" i="4" s="1"/>
  <c r="Q90" i="4"/>
  <c r="P91" i="4"/>
  <c r="M93" i="4"/>
  <c r="N93" i="4" s="1"/>
  <c r="L94" i="4"/>
  <c r="N94" i="4" s="1"/>
  <c r="T97" i="4"/>
  <c r="Q98" i="4"/>
  <c r="P99" i="4"/>
  <c r="R99" i="4" s="1"/>
  <c r="U80" i="4"/>
  <c r="U88" i="4"/>
  <c r="U97" i="4"/>
  <c r="R32" i="4" l="1"/>
  <c r="V146" i="4"/>
  <c r="R144" i="4"/>
  <c r="V126" i="4"/>
  <c r="V145" i="4"/>
  <c r="V8" i="4"/>
  <c r="R45" i="4"/>
  <c r="V59" i="4"/>
  <c r="R109" i="4"/>
  <c r="V118" i="4"/>
  <c r="N138" i="4"/>
  <c r="N147" i="4"/>
  <c r="N155" i="4"/>
  <c r="N85" i="4"/>
  <c r="R98" i="4"/>
  <c r="V76" i="4"/>
  <c r="V16" i="4"/>
  <c r="V107" i="4"/>
  <c r="R160" i="4"/>
  <c r="N130" i="4"/>
  <c r="R63" i="4"/>
  <c r="V6" i="4"/>
  <c r="N129" i="4"/>
  <c r="N133" i="4"/>
  <c r="R118" i="4"/>
  <c r="R61" i="4"/>
  <c r="V34" i="4"/>
  <c r="R157" i="4"/>
  <c r="R137" i="4"/>
  <c r="R125" i="4"/>
  <c r="R139" i="4"/>
  <c r="R97" i="4"/>
  <c r="V10" i="4"/>
  <c r="N119" i="4"/>
  <c r="R138" i="4"/>
  <c r="N110" i="4"/>
  <c r="N111" i="4"/>
  <c r="N79" i="4"/>
  <c r="R30" i="4"/>
  <c r="V15" i="4"/>
  <c r="R142" i="4"/>
  <c r="V109" i="4"/>
  <c r="N162" i="4"/>
  <c r="N169" i="4"/>
  <c r="R10" i="4"/>
  <c r="R43" i="4"/>
  <c r="V17" i="4"/>
  <c r="N125" i="4"/>
  <c r="V116" i="4"/>
  <c r="N136" i="4"/>
  <c r="V148" i="4"/>
  <c r="R11" i="4"/>
  <c r="R17" i="4"/>
  <c r="R147" i="4"/>
  <c r="V134" i="4"/>
  <c r="W130" i="4" s="1"/>
  <c r="V143" i="4"/>
  <c r="N6" i="4"/>
  <c r="N126" i="4"/>
  <c r="V115" i="4"/>
  <c r="N168" i="4"/>
  <c r="V138" i="4"/>
  <c r="V99" i="4"/>
  <c r="V7" i="4"/>
  <c r="V120" i="4"/>
  <c r="V53" i="4"/>
  <c r="V82" i="4"/>
  <c r="R27" i="4"/>
  <c r="N26" i="4"/>
  <c r="V77" i="4"/>
  <c r="V18" i="4"/>
  <c r="R22" i="4"/>
  <c r="N101" i="4"/>
  <c r="R116" i="4"/>
  <c r="R155" i="4"/>
  <c r="N154" i="4"/>
  <c r="N144" i="4"/>
  <c r="N153" i="4"/>
  <c r="R89" i="4"/>
  <c r="V86" i="4"/>
  <c r="N81" i="4"/>
  <c r="R94" i="4"/>
  <c r="N45" i="4"/>
  <c r="V62" i="4"/>
  <c r="N12" i="4"/>
  <c r="V57" i="4"/>
  <c r="R37" i="4"/>
  <c r="N67" i="4"/>
  <c r="N16" i="4"/>
  <c r="R21" i="4"/>
  <c r="N117" i="4"/>
  <c r="N151" i="4"/>
  <c r="N141" i="4"/>
  <c r="R133" i="4"/>
  <c r="R149" i="4"/>
  <c r="R18" i="4"/>
  <c r="R90" i="4"/>
  <c r="N106" i="4"/>
  <c r="N11" i="4"/>
  <c r="R36" i="4"/>
  <c r="N14" i="4"/>
  <c r="N114" i="4"/>
  <c r="R105" i="4"/>
  <c r="R121" i="4"/>
  <c r="N128" i="4"/>
  <c r="R141" i="4"/>
  <c r="R131" i="4"/>
  <c r="N139" i="4"/>
  <c r="N58" i="4"/>
  <c r="N41" i="4"/>
  <c r="R102" i="4"/>
  <c r="V98" i="4"/>
  <c r="V96" i="4"/>
  <c r="N99" i="4"/>
  <c r="V91" i="4"/>
  <c r="V49" i="4"/>
  <c r="N113" i="4"/>
  <c r="R49" i="4"/>
  <c r="R55" i="4"/>
  <c r="V65" i="4"/>
  <c r="R42" i="4"/>
  <c r="R6" i="4"/>
  <c r="R44" i="4"/>
  <c r="V40" i="4"/>
  <c r="R33" i="4"/>
  <c r="N66" i="4"/>
  <c r="N102" i="4"/>
  <c r="N142" i="4"/>
  <c r="V125" i="4"/>
  <c r="R140" i="4"/>
  <c r="R95" i="4"/>
  <c r="R71" i="4"/>
  <c r="V13" i="4"/>
  <c r="V19" i="4"/>
  <c r="R51" i="4"/>
  <c r="R25" i="4"/>
  <c r="V46" i="4"/>
  <c r="N28" i="4"/>
  <c r="N40" i="4"/>
  <c r="R75" i="4"/>
  <c r="R28" i="4"/>
  <c r="N60" i="4"/>
  <c r="V61" i="4"/>
  <c r="N36" i="4"/>
  <c r="R100" i="4"/>
  <c r="V75" i="4"/>
  <c r="R65" i="4"/>
  <c r="R53" i="4"/>
  <c r="N34" i="4"/>
  <c r="R80" i="4"/>
  <c r="N51" i="4"/>
  <c r="V85" i="4"/>
  <c r="R96" i="4"/>
  <c r="V12" i="4"/>
  <c r="R19" i="4"/>
  <c r="N3" i="4"/>
  <c r="N78" i="4"/>
  <c r="N87" i="4"/>
  <c r="V47" i="4"/>
  <c r="V95" i="4"/>
  <c r="N69" i="4"/>
  <c r="V38" i="4"/>
  <c r="N9" i="4"/>
  <c r="R40" i="4"/>
  <c r="R107" i="4"/>
  <c r="N98" i="4"/>
  <c r="R110" i="4"/>
  <c r="R91" i="4"/>
  <c r="V100" i="4"/>
  <c r="R77" i="4"/>
  <c r="N107" i="4"/>
  <c r="R67" i="4"/>
  <c r="V60" i="4"/>
  <c r="R50" i="4"/>
  <c r="V3" i="4"/>
  <c r="R52" i="4"/>
  <c r="V23" i="4"/>
  <c r="N8" i="4"/>
  <c r="V22" i="4"/>
  <c r="N4" i="4"/>
  <c r="R112" i="4"/>
  <c r="N13" i="4"/>
  <c r="N37" i="4"/>
  <c r="N44" i="4"/>
  <c r="N80" i="4"/>
  <c r="V64" i="4"/>
  <c r="V52" i="4"/>
  <c r="N24" i="4"/>
  <c r="V5" i="4"/>
  <c r="N10" i="4"/>
  <c r="R46" i="4"/>
  <c r="N35" i="4"/>
  <c r="N15" i="4"/>
  <c r="V72" i="4"/>
  <c r="R88" i="4"/>
  <c r="R69" i="4"/>
  <c r="N73" i="4"/>
  <c r="N76" i="4"/>
  <c r="N62" i="4"/>
  <c r="R60" i="4"/>
  <c r="V81" i="4"/>
  <c r="N72" i="4"/>
  <c r="N31" i="4"/>
  <c r="R74" i="4"/>
  <c r="V80" i="4"/>
  <c r="N32" i="4"/>
  <c r="V71" i="4"/>
  <c r="V68" i="4"/>
  <c r="V36" i="4"/>
  <c r="N23" i="4"/>
  <c r="R54" i="4"/>
  <c r="R7" i="4"/>
  <c r="R78" i="4"/>
  <c r="R26" i="4"/>
  <c r="N52" i="4"/>
  <c r="N30" i="4"/>
  <c r="R64" i="4"/>
  <c r="N29" i="4"/>
  <c r="R13" i="4"/>
  <c r="V84" i="4"/>
  <c r="V28" i="4"/>
  <c r="V92" i="4"/>
  <c r="V66" i="4"/>
  <c r="N39" i="4"/>
  <c r="N22" i="4"/>
  <c r="R68" i="4"/>
  <c r="N43" i="4"/>
  <c r="N33" i="4"/>
  <c r="R70" i="4"/>
  <c r="R24" i="4"/>
  <c r="N59" i="4"/>
  <c r="V11" i="4"/>
  <c r="N83" i="4"/>
  <c r="R83" i="4"/>
  <c r="R108" i="4"/>
  <c r="R76" i="4"/>
  <c r="R93" i="4"/>
  <c r="R66" i="4"/>
  <c r="R39" i="4"/>
  <c r="V63" i="4"/>
  <c r="R62" i="4"/>
  <c r="V37" i="4"/>
  <c r="N68" i="4"/>
  <c r="N57" i="4"/>
  <c r="V31" i="4"/>
  <c r="N21" i="4"/>
  <c r="V4" i="4"/>
  <c r="N17" i="4"/>
  <c r="R48" i="4"/>
  <c r="R84" i="4"/>
  <c r="R23" i="4"/>
  <c r="N112" i="4"/>
  <c r="V97" i="4"/>
  <c r="W94" i="4" s="1"/>
  <c r="AC28" i="4" s="1"/>
  <c r="AC29" i="4" s="1"/>
  <c r="N55" i="4"/>
  <c r="N88" i="4"/>
  <c r="V48" i="4"/>
  <c r="V58" i="4"/>
  <c r="V70" i="4"/>
  <c r="N20" i="4"/>
  <c r="V54" i="4"/>
  <c r="V44" i="4"/>
  <c r="N46" i="4"/>
  <c r="N7" i="4"/>
  <c r="V78" i="4"/>
  <c r="V51" i="4"/>
  <c r="V87" i="4"/>
  <c r="R103" i="4"/>
  <c r="R114" i="4"/>
  <c r="N71" i="4"/>
  <c r="N70" i="4"/>
  <c r="R58" i="4"/>
  <c r="N65" i="4"/>
  <c r="V14" i="4"/>
  <c r="R29" i="4"/>
  <c r="R41" i="4"/>
  <c r="N2" i="4"/>
  <c r="N64" i="4"/>
  <c r="V32" i="4"/>
  <c r="R14" i="4"/>
  <c r="V21" i="4"/>
  <c r="V73" i="4"/>
  <c r="N49" i="4"/>
  <c r="R104" i="4"/>
  <c r="N61" i="4"/>
  <c r="V30" i="4"/>
  <c r="V56" i="4"/>
  <c r="R57" i="4"/>
  <c r="N27" i="4"/>
  <c r="V41" i="4"/>
  <c r="R15" i="4"/>
  <c r="V42" i="4"/>
  <c r="V20" i="4"/>
  <c r="R4" i="4"/>
  <c r="V74" i="4"/>
  <c r="R47" i="4"/>
  <c r="R81" i="4"/>
  <c r="W106" i="4" l="1"/>
  <c r="AB28" i="4" s="1"/>
  <c r="AB29" i="4" s="1"/>
  <c r="W118" i="4"/>
  <c r="AA28" i="4" s="1"/>
  <c r="W34" i="4"/>
  <c r="AH28" i="4" s="1"/>
  <c r="AH29" i="4" s="1"/>
  <c r="W142" i="4"/>
  <c r="W58" i="4"/>
  <c r="AF28" i="4" s="1"/>
  <c r="AF29" i="4" s="1"/>
  <c r="W46" i="4"/>
  <c r="AG28" i="4" s="1"/>
  <c r="AG29" i="4" s="1"/>
  <c r="W11" i="4"/>
  <c r="AJ28" i="4" s="1"/>
  <c r="AJ29" i="4" s="1"/>
  <c r="W22" i="4"/>
  <c r="AI28" i="4" s="1"/>
  <c r="AI29" i="4" s="1"/>
  <c r="W82" i="4"/>
  <c r="AD28" i="4" s="1"/>
  <c r="AD29" i="4" s="1"/>
  <c r="W70" i="4"/>
  <c r="AE28" i="4" s="1"/>
  <c r="AE29" i="4" s="1"/>
  <c r="C18" i="2" l="1"/>
  <c r="B131" i="10" s="1"/>
  <c r="B130" i="9" l="1"/>
  <c r="D34" i="6"/>
  <c r="B23" i="9" l="1"/>
  <c r="K117" i="9" s="1"/>
  <c r="B24" i="10"/>
  <c r="B23" i="8"/>
  <c r="J117" i="9" l="1"/>
  <c r="E117" i="9"/>
  <c r="I117" i="9"/>
  <c r="L117" i="9"/>
  <c r="H117" i="9"/>
  <c r="G117" i="9"/>
  <c r="F117" i="9"/>
  <c r="D117" i="9"/>
  <c r="C117" i="9"/>
  <c r="C119" i="9" s="1"/>
  <c r="C118" i="10"/>
  <c r="C120" i="10" s="1"/>
  <c r="E118" i="10"/>
  <c r="D118" i="10"/>
  <c r="F118" i="10"/>
  <c r="G118" i="10"/>
  <c r="H118" i="10"/>
  <c r="I118" i="10"/>
  <c r="L118" i="10"/>
  <c r="J118" i="10"/>
  <c r="K118" i="10"/>
  <c r="D117" i="8"/>
  <c r="E117" i="8"/>
  <c r="G117" i="8"/>
  <c r="C117" i="8"/>
  <c r="C119" i="8" s="1"/>
  <c r="F117" i="8"/>
  <c r="H117" i="8"/>
  <c r="J117" i="8"/>
  <c r="I117" i="8"/>
  <c r="L117" i="8"/>
  <c r="K117" i="8"/>
  <c r="D119" i="8" l="1"/>
  <c r="E119" i="8" s="1"/>
  <c r="F119" i="8" s="1"/>
  <c r="G119" i="8" s="1"/>
  <c r="H119" i="8" s="1"/>
  <c r="I119" i="8" s="1"/>
  <c r="J119" i="8" s="1"/>
  <c r="K119" i="8" s="1"/>
  <c r="L119" i="8" s="1"/>
  <c r="B122" i="8" s="1"/>
  <c r="D119" i="9"/>
  <c r="E119" i="9" s="1"/>
  <c r="F119" i="9" s="1"/>
  <c r="G119" i="9" s="1"/>
  <c r="H119" i="9" s="1"/>
  <c r="I119" i="9" s="1"/>
  <c r="J119" i="9" s="1"/>
  <c r="K119" i="9" s="1"/>
  <c r="L119" i="9" s="1"/>
  <c r="B122" i="9" s="1"/>
  <c r="D120" i="10"/>
  <c r="E120" i="10" s="1"/>
  <c r="F120" i="10" s="1"/>
  <c r="G120" i="10" s="1"/>
  <c r="H120" i="10" s="1"/>
  <c r="I120" i="10" s="1"/>
  <c r="J120" i="10" s="1"/>
  <c r="K120" i="10" s="1"/>
  <c r="L120" i="10" l="1"/>
  <c r="B123" i="10" s="1"/>
  <c r="C56" i="8"/>
  <c r="C56" i="9"/>
  <c r="C72" i="6"/>
  <c r="D56" i="8" l="1"/>
  <c r="C58" i="8"/>
  <c r="D72" i="6"/>
  <c r="E72" i="6" s="1"/>
  <c r="D56" i="9"/>
  <c r="C58" i="9"/>
  <c r="D58" i="8"/>
  <c r="E56" i="8"/>
  <c r="C57" i="10"/>
  <c r="C59" i="10" l="1"/>
  <c r="D57" i="10"/>
  <c r="F72" i="6"/>
  <c r="F56" i="8"/>
  <c r="E58" i="8"/>
  <c r="E56" i="9"/>
  <c r="D58" i="9"/>
  <c r="G56" i="8" l="1"/>
  <c r="F58" i="8"/>
  <c r="G72" i="6"/>
  <c r="D59" i="10"/>
  <c r="E57" i="10"/>
  <c r="E58" i="9"/>
  <c r="F56" i="9"/>
  <c r="F57" i="10" l="1"/>
  <c r="E59" i="10"/>
  <c r="H72" i="6"/>
  <c r="G58" i="8"/>
  <c r="H56" i="8"/>
  <c r="G56" i="9"/>
  <c r="F58" i="9"/>
  <c r="H58" i="8" l="1"/>
  <c r="I56" i="8"/>
  <c r="I72" i="6"/>
  <c r="G57" i="10"/>
  <c r="F59" i="10"/>
  <c r="G58" i="9"/>
  <c r="H56" i="9"/>
  <c r="I56" i="9" l="1"/>
  <c r="H58" i="9"/>
  <c r="G59" i="10"/>
  <c r="H57" i="10"/>
  <c r="J72" i="6"/>
  <c r="J56" i="8"/>
  <c r="I58" i="8"/>
  <c r="K56" i="8" l="1"/>
  <c r="J58" i="8"/>
  <c r="K72" i="6"/>
  <c r="I57" i="10"/>
  <c r="H59" i="10"/>
  <c r="J56" i="9"/>
  <c r="I58" i="9"/>
  <c r="J58" i="9" l="1"/>
  <c r="K56" i="9"/>
  <c r="J57" i="10"/>
  <c r="I59" i="10"/>
  <c r="L72" i="6"/>
  <c r="L56" i="8"/>
  <c r="L58" i="8" s="1"/>
  <c r="K58" i="8"/>
  <c r="L124" i="8" l="1"/>
  <c r="B128" i="8"/>
  <c r="K57" i="10"/>
  <c r="J59" i="10"/>
  <c r="K58" i="9"/>
  <c r="L56" i="9"/>
  <c r="L58" i="9" s="1"/>
  <c r="L124" i="9" l="1"/>
  <c r="B128" i="9"/>
  <c r="K59" i="10"/>
  <c r="L57" i="10"/>
  <c r="L59" i="10" s="1"/>
  <c r="B129" i="10" l="1"/>
  <c r="L125" i="10"/>
  <c r="E84" i="6"/>
  <c r="D84" i="6" l="1"/>
  <c r="D83" i="6"/>
  <c r="I83" i="6"/>
  <c r="K46" i="6"/>
  <c r="K47" i="6" s="1"/>
  <c r="K49" i="6" s="1"/>
  <c r="K106" i="6" s="1"/>
  <c r="G46" i="6"/>
  <c r="G47" i="6" s="1"/>
  <c r="G49" i="6" s="1"/>
  <c r="D46" i="6"/>
  <c r="D47" i="6" s="1"/>
  <c r="D49" i="6" s="1"/>
  <c r="D106" i="6" s="1"/>
  <c r="B83" i="6"/>
  <c r="H46" i="6"/>
  <c r="H47" i="6" s="1"/>
  <c r="H49" i="6" s="1"/>
  <c r="H106" i="6" s="1"/>
  <c r="G51" i="6"/>
  <c r="E51" i="6"/>
  <c r="D86" i="6"/>
  <c r="H51" i="6"/>
  <c r="E86" i="6"/>
  <c r="K51" i="6"/>
  <c r="C84" i="6"/>
  <c r="L46" i="6"/>
  <c r="L47" i="6" s="1"/>
  <c r="L49" i="6" s="1"/>
  <c r="G84" i="6"/>
  <c r="K84" i="6"/>
  <c r="F86" i="6"/>
  <c r="I84" i="6"/>
  <c r="D51" i="6"/>
  <c r="I51" i="6"/>
  <c r="K83" i="6"/>
  <c r="C51" i="6"/>
  <c r="J51" i="6"/>
  <c r="K86" i="6"/>
  <c r="F83" i="6"/>
  <c r="I86" i="6"/>
  <c r="H83" i="6"/>
  <c r="G86" i="6"/>
  <c r="C86" i="6"/>
  <c r="F51" i="6"/>
  <c r="J84" i="6"/>
  <c r="J83" i="6"/>
  <c r="J46" i="6"/>
  <c r="J47" i="6" s="1"/>
  <c r="J49" i="6" s="1"/>
  <c r="F84" i="6"/>
  <c r="L51" i="6"/>
  <c r="H84" i="6"/>
  <c r="E46" i="6"/>
  <c r="E47" i="6" s="1"/>
  <c r="E49" i="6" s="1"/>
  <c r="G83" i="6"/>
  <c r="C46" i="6"/>
  <c r="C47" i="6" s="1"/>
  <c r="C49" i="6" s="1"/>
  <c r="I46" i="6"/>
  <c r="I47" i="6" s="1"/>
  <c r="I49" i="6" s="1"/>
  <c r="B84" i="6"/>
  <c r="C83" i="6"/>
  <c r="E83" i="6"/>
  <c r="H86" i="6"/>
  <c r="J86" i="6"/>
  <c r="F46" i="6"/>
  <c r="F47" i="6" s="1"/>
  <c r="F49" i="6" s="1"/>
  <c r="D88" i="6" l="1"/>
  <c r="D53" i="6"/>
  <c r="D120" i="6" s="1"/>
  <c r="D121" i="6" s="1"/>
  <c r="D126" i="6" s="1"/>
  <c r="B88" i="6"/>
  <c r="B90" i="6" s="1"/>
  <c r="K53" i="6"/>
  <c r="K120" i="6" s="1"/>
  <c r="K121" i="6" s="1"/>
  <c r="K126" i="6" s="1"/>
  <c r="G53" i="6"/>
  <c r="G120" i="6" s="1"/>
  <c r="G121" i="6" s="1"/>
  <c r="G126" i="6" s="1"/>
  <c r="H53" i="6"/>
  <c r="H57" i="6" s="1"/>
  <c r="G106" i="6"/>
  <c r="E88" i="6"/>
  <c r="E130" i="6" s="1"/>
  <c r="C88" i="6"/>
  <c r="C130" i="6" s="1"/>
  <c r="I88" i="6"/>
  <c r="I109" i="6" s="1"/>
  <c r="L53" i="6"/>
  <c r="L106" i="6"/>
  <c r="F88" i="6"/>
  <c r="D109" i="6"/>
  <c r="D90" i="6"/>
  <c r="J53" i="6"/>
  <c r="J106" i="6"/>
  <c r="J88" i="6"/>
  <c r="I106" i="6"/>
  <c r="I53" i="6"/>
  <c r="K88" i="6"/>
  <c r="E106" i="6"/>
  <c r="E53" i="6"/>
  <c r="H88" i="6"/>
  <c r="C106" i="6"/>
  <c r="C53" i="6"/>
  <c r="G88" i="6"/>
  <c r="F106" i="6"/>
  <c r="F53" i="6"/>
  <c r="D57" i="6" l="1"/>
  <c r="G57" i="6"/>
  <c r="B101" i="6"/>
  <c r="C113" i="6"/>
  <c r="G107" i="6"/>
  <c r="H120" i="6"/>
  <c r="H121" i="6" s="1"/>
  <c r="H126" i="6" s="1"/>
  <c r="B130" i="6"/>
  <c r="B135" i="6" s="1"/>
  <c r="B137" i="6" s="1"/>
  <c r="B139" i="6" s="1"/>
  <c r="K57" i="6"/>
  <c r="K108" i="6" s="1"/>
  <c r="K107" i="6"/>
  <c r="D107" i="6"/>
  <c r="E109" i="6"/>
  <c r="H107" i="6"/>
  <c r="C90" i="6"/>
  <c r="C97" i="6" s="1"/>
  <c r="C109" i="6"/>
  <c r="J130" i="6"/>
  <c r="E90" i="6"/>
  <c r="D130" i="6"/>
  <c r="D135" i="6" s="1"/>
  <c r="D137" i="6" s="1"/>
  <c r="F130" i="6"/>
  <c r="I90" i="6"/>
  <c r="B94" i="6"/>
  <c r="I130" i="6"/>
  <c r="H109" i="6"/>
  <c r="H90" i="6"/>
  <c r="D108" i="6"/>
  <c r="H108" i="6"/>
  <c r="K90" i="6"/>
  <c r="L130" i="6"/>
  <c r="K109" i="6"/>
  <c r="L120" i="6"/>
  <c r="L121" i="6" s="1"/>
  <c r="L126" i="6" s="1"/>
  <c r="L107" i="6"/>
  <c r="L57" i="6"/>
  <c r="J120" i="6"/>
  <c r="J121" i="6" s="1"/>
  <c r="J126" i="6" s="1"/>
  <c r="J107" i="6"/>
  <c r="J57" i="6"/>
  <c r="D97" i="6"/>
  <c r="D101" i="6"/>
  <c r="F90" i="6"/>
  <c r="F113" i="6" s="1"/>
  <c r="G130" i="6"/>
  <c r="G135" i="6" s="1"/>
  <c r="F109" i="6"/>
  <c r="F120" i="6"/>
  <c r="F121" i="6" s="1"/>
  <c r="F126" i="6" s="1"/>
  <c r="F107" i="6"/>
  <c r="F57" i="6"/>
  <c r="G108" i="6"/>
  <c r="I120" i="6"/>
  <c r="I121" i="6" s="1"/>
  <c r="I126" i="6" s="1"/>
  <c r="I57" i="6"/>
  <c r="I107" i="6"/>
  <c r="H130" i="6"/>
  <c r="H135" i="6" s="1"/>
  <c r="H137" i="6" s="1"/>
  <c r="G109" i="6"/>
  <c r="G90" i="6"/>
  <c r="G113" i="6" s="1"/>
  <c r="E120" i="6"/>
  <c r="E121" i="6" s="1"/>
  <c r="E126" i="6" s="1"/>
  <c r="E135" i="6" s="1"/>
  <c r="E137" i="6" s="1"/>
  <c r="E57" i="6"/>
  <c r="E107" i="6"/>
  <c r="C120" i="6"/>
  <c r="C121" i="6" s="1"/>
  <c r="C126" i="6" s="1"/>
  <c r="C135" i="6" s="1"/>
  <c r="C137" i="6" s="1"/>
  <c r="C107" i="6"/>
  <c r="C57" i="6"/>
  <c r="J90" i="6"/>
  <c r="J109" i="6"/>
  <c r="K130" i="6"/>
  <c r="K135" i="6" s="1"/>
  <c r="K137" i="6" s="1"/>
  <c r="I97" i="6" l="1"/>
  <c r="I39" i="12" s="1"/>
  <c r="I113" i="6"/>
  <c r="J113" i="6"/>
  <c r="K113" i="6"/>
  <c r="L110" i="6"/>
  <c r="E110" i="6"/>
  <c r="E113" i="6"/>
  <c r="H113" i="6"/>
  <c r="D113" i="6"/>
  <c r="D111" i="6"/>
  <c r="C101" i="6"/>
  <c r="D110" i="6"/>
  <c r="D99" i="6"/>
  <c r="E60" i="6" s="1"/>
  <c r="E62" i="6" s="1"/>
  <c r="E97" i="6"/>
  <c r="E39" i="12" s="1"/>
  <c r="C110" i="6"/>
  <c r="E101" i="6"/>
  <c r="F135" i="6"/>
  <c r="F137" i="6" s="1"/>
  <c r="J135" i="6"/>
  <c r="J137" i="6" s="1"/>
  <c r="I101" i="6"/>
  <c r="I99" i="6" s="1"/>
  <c r="J60" i="6" s="1"/>
  <c r="J62" i="6" s="1"/>
  <c r="K111" i="6"/>
  <c r="G111" i="6"/>
  <c r="G137" i="6"/>
  <c r="H111" i="6"/>
  <c r="I135" i="6"/>
  <c r="I137" i="6" s="1"/>
  <c r="L135" i="6"/>
  <c r="L137" i="6" s="1"/>
  <c r="C99" i="6"/>
  <c r="D60" i="6" s="1"/>
  <c r="D62" i="6" s="1"/>
  <c r="B97" i="6"/>
  <c r="B70" i="6"/>
  <c r="I128" i="12"/>
  <c r="I116" i="12"/>
  <c r="J101" i="12" s="1"/>
  <c r="L108" i="6"/>
  <c r="L111" i="6"/>
  <c r="F111" i="6"/>
  <c r="F108" i="6"/>
  <c r="C76" i="12"/>
  <c r="D61" i="12" s="1"/>
  <c r="C116" i="12"/>
  <c r="D101" i="12" s="1"/>
  <c r="C39" i="12"/>
  <c r="D23" i="12" s="1"/>
  <c r="C128" i="12"/>
  <c r="C139" i="6"/>
  <c r="D139" i="6" s="1"/>
  <c r="E139" i="6" s="1"/>
  <c r="G110" i="6"/>
  <c r="G101" i="6"/>
  <c r="G97" i="6"/>
  <c r="H101" i="6"/>
  <c r="H110" i="6"/>
  <c r="H97" i="6"/>
  <c r="I110" i="6"/>
  <c r="E108" i="6"/>
  <c r="E111" i="6"/>
  <c r="J110" i="6"/>
  <c r="J97" i="6"/>
  <c r="J101" i="6"/>
  <c r="D39" i="12"/>
  <c r="D128" i="12"/>
  <c r="D116" i="12"/>
  <c r="E101" i="12" s="1"/>
  <c r="D76" i="12"/>
  <c r="E61" i="12" s="1"/>
  <c r="K97" i="6"/>
  <c r="K110" i="6"/>
  <c r="K101" i="6"/>
  <c r="C111" i="6"/>
  <c r="C108" i="6"/>
  <c r="I108" i="6"/>
  <c r="I111" i="6"/>
  <c r="F110" i="6"/>
  <c r="F101" i="6"/>
  <c r="F97" i="6"/>
  <c r="J111" i="6"/>
  <c r="J108" i="6"/>
  <c r="I76" i="12" l="1"/>
  <c r="E99" i="6"/>
  <c r="F60" i="6" s="1"/>
  <c r="F62" i="6" s="1"/>
  <c r="E128" i="12"/>
  <c r="E76" i="12"/>
  <c r="F61" i="12" s="1"/>
  <c r="E116" i="12"/>
  <c r="F101" i="12" s="1"/>
  <c r="F139" i="6"/>
  <c r="G139" i="6" s="1"/>
  <c r="H139" i="6" s="1"/>
  <c r="I139" i="6" s="1"/>
  <c r="J139" i="6" s="1"/>
  <c r="K139" i="6" s="1"/>
  <c r="L139" i="6" s="1"/>
  <c r="B142" i="6" s="1"/>
  <c r="J99" i="6"/>
  <c r="K60" i="6" s="1"/>
  <c r="K62" i="6" s="1"/>
  <c r="H144" i="6"/>
  <c r="K99" i="6"/>
  <c r="L60" i="6" s="1"/>
  <c r="L62" i="6" s="1"/>
  <c r="H142" i="6"/>
  <c r="F99" i="6"/>
  <c r="G60" i="6" s="1"/>
  <c r="G62" i="6" s="1"/>
  <c r="K116" i="12"/>
  <c r="K76" i="12"/>
  <c r="K39" i="12"/>
  <c r="L23" i="12" s="1"/>
  <c r="K128" i="12"/>
  <c r="G39" i="12"/>
  <c r="G128" i="12"/>
  <c r="G76" i="12"/>
  <c r="G116" i="12"/>
  <c r="H101" i="12" s="1"/>
  <c r="J76" i="12"/>
  <c r="K61" i="12" s="1"/>
  <c r="J128" i="12"/>
  <c r="J116" i="12"/>
  <c r="K101" i="12" s="1"/>
  <c r="J39" i="12"/>
  <c r="G99" i="6"/>
  <c r="H60" i="6" s="1"/>
  <c r="H62" i="6" s="1"/>
  <c r="J61" i="12"/>
  <c r="H116" i="12"/>
  <c r="H128" i="12"/>
  <c r="H39" i="12"/>
  <c r="I23" i="12" s="1"/>
  <c r="H76" i="12"/>
  <c r="I61" i="12" s="1"/>
  <c r="F76" i="12"/>
  <c r="F116" i="12"/>
  <c r="F128" i="12"/>
  <c r="F39" i="12"/>
  <c r="H99" i="6"/>
  <c r="I60" i="6" s="1"/>
  <c r="I62" i="6" s="1"/>
  <c r="F23" i="12"/>
  <c r="B74" i="6"/>
  <c r="E23" i="12"/>
  <c r="J23" i="12"/>
  <c r="B116" i="12"/>
  <c r="B76" i="12"/>
  <c r="B128" i="12"/>
  <c r="B130" i="12" s="1"/>
  <c r="C61" i="12"/>
  <c r="C84" i="12" s="1"/>
  <c r="D84" i="12" s="1"/>
  <c r="E84" i="12" s="1"/>
  <c r="B39" i="12"/>
  <c r="B99" i="6"/>
  <c r="C60" i="6" s="1"/>
  <c r="C62" i="6" s="1"/>
  <c r="F84" i="12" l="1"/>
  <c r="I101" i="12"/>
  <c r="L101" i="12"/>
  <c r="B31" i="12"/>
  <c r="B33" i="12" s="1"/>
  <c r="B41" i="12" s="1"/>
  <c r="B43" i="12" s="1"/>
  <c r="B108" i="12"/>
  <c r="B110" i="12" s="1"/>
  <c r="B118" i="12" s="1"/>
  <c r="B68" i="12"/>
  <c r="B70" i="12" s="1"/>
  <c r="B78" i="12" s="1"/>
  <c r="L61" i="12"/>
  <c r="H23" i="12"/>
  <c r="G61" i="12"/>
  <c r="G84" i="12" s="1"/>
  <c r="L64" i="6"/>
  <c r="L66" i="6" s="1"/>
  <c r="L112" i="6" s="1"/>
  <c r="H64" i="6"/>
  <c r="H66" i="6" s="1"/>
  <c r="H112" i="6" s="1"/>
  <c r="F64" i="6"/>
  <c r="F66" i="6" s="1"/>
  <c r="F112" i="6" s="1"/>
  <c r="C66" i="6"/>
  <c r="C112" i="6" s="1"/>
  <c r="I64" i="6"/>
  <c r="I66" i="6" s="1"/>
  <c r="I112" i="6" s="1"/>
  <c r="D64" i="6"/>
  <c r="D66" i="6" s="1"/>
  <c r="D112" i="6" s="1"/>
  <c r="J64" i="6"/>
  <c r="J66" i="6" s="1"/>
  <c r="J112" i="6" s="1"/>
  <c r="K64" i="6"/>
  <c r="K66" i="6" s="1"/>
  <c r="K112" i="6" s="1"/>
  <c r="E64" i="6"/>
  <c r="E66" i="6" s="1"/>
  <c r="E112" i="6" s="1"/>
  <c r="G64" i="6"/>
  <c r="G66" i="6" s="1"/>
  <c r="G112" i="6" s="1"/>
  <c r="H61" i="12"/>
  <c r="C101" i="12"/>
  <c r="C124" i="12" s="1"/>
  <c r="D124" i="12" s="1"/>
  <c r="E124" i="12" s="1"/>
  <c r="F124" i="12" s="1"/>
  <c r="G23" i="12"/>
  <c r="K23" i="12"/>
  <c r="C23" i="12"/>
  <c r="C47" i="12" s="1"/>
  <c r="D47" i="12" s="1"/>
  <c r="E47" i="12" s="1"/>
  <c r="F47" i="12" s="1"/>
  <c r="G101" i="12"/>
  <c r="H84" i="12" l="1"/>
  <c r="I84" i="12" s="1"/>
  <c r="J84" i="12" s="1"/>
  <c r="K84" i="12" s="1"/>
  <c r="L84" i="12" s="1"/>
  <c r="G124" i="12"/>
  <c r="H124" i="12" s="1"/>
  <c r="I124" i="12" s="1"/>
  <c r="J124" i="12" s="1"/>
  <c r="K124" i="12" s="1"/>
  <c r="L124" i="12" s="1"/>
  <c r="G96" i="12"/>
  <c r="G59" i="12"/>
  <c r="G63" i="12" s="1"/>
  <c r="G19" i="12"/>
  <c r="G21" i="12" s="1"/>
  <c r="G25" i="12" s="1"/>
  <c r="H59" i="12"/>
  <c r="H63" i="12" s="1"/>
  <c r="H19" i="12"/>
  <c r="H21" i="12" s="1"/>
  <c r="H25" i="12" s="1"/>
  <c r="H96" i="12"/>
  <c r="I19" i="12"/>
  <c r="I21" i="12" s="1"/>
  <c r="I25" i="12" s="1"/>
  <c r="I96" i="12"/>
  <c r="I59" i="12"/>
  <c r="I63" i="12" s="1"/>
  <c r="D96" i="12"/>
  <c r="D59" i="12"/>
  <c r="D63" i="12" s="1"/>
  <c r="D19" i="12"/>
  <c r="D21" i="12" s="1"/>
  <c r="D25" i="12" s="1"/>
  <c r="F59" i="12"/>
  <c r="F63" i="12" s="1"/>
  <c r="F19" i="12"/>
  <c r="F21" i="12" s="1"/>
  <c r="F25" i="12" s="1"/>
  <c r="F96" i="12"/>
  <c r="L96" i="12"/>
  <c r="L19" i="12"/>
  <c r="L21" i="12" s="1"/>
  <c r="L25" i="12" s="1"/>
  <c r="L59" i="12"/>
  <c r="L63" i="12" s="1"/>
  <c r="C59" i="12"/>
  <c r="C95" i="6"/>
  <c r="C96" i="12"/>
  <c r="C19" i="12"/>
  <c r="C21" i="12" s="1"/>
  <c r="G47" i="12"/>
  <c r="H47" i="12" s="1"/>
  <c r="I47" i="12" s="1"/>
  <c r="J47" i="12" s="1"/>
  <c r="K47" i="12" s="1"/>
  <c r="L47" i="12" s="1"/>
  <c r="B80" i="12"/>
  <c r="E96" i="12"/>
  <c r="E59" i="12"/>
  <c r="E63" i="12" s="1"/>
  <c r="E19" i="12"/>
  <c r="E21" i="12" s="1"/>
  <c r="E25" i="12" s="1"/>
  <c r="K19" i="12"/>
  <c r="K21" i="12" s="1"/>
  <c r="K25" i="12" s="1"/>
  <c r="K96" i="12"/>
  <c r="K59" i="12"/>
  <c r="K63" i="12" s="1"/>
  <c r="J96" i="12"/>
  <c r="J19" i="12"/>
  <c r="J21" i="12" s="1"/>
  <c r="J25" i="12" s="1"/>
  <c r="J59" i="12"/>
  <c r="J63" i="12" s="1"/>
  <c r="B120" i="12"/>
  <c r="E103" i="12" l="1"/>
  <c r="E99" i="12"/>
  <c r="E98" i="12" s="1"/>
  <c r="C25" i="12"/>
  <c r="C45" i="12"/>
  <c r="I103" i="12"/>
  <c r="I99" i="12"/>
  <c r="I98" i="12" s="1"/>
  <c r="F99" i="12"/>
  <c r="F98" i="12" s="1"/>
  <c r="F103" i="12"/>
  <c r="J103" i="12"/>
  <c r="J99" i="12"/>
  <c r="J98" i="12" s="1"/>
  <c r="C99" i="12"/>
  <c r="C122" i="12" s="1"/>
  <c r="C98" i="12"/>
  <c r="C103" i="12"/>
  <c r="H99" i="12"/>
  <c r="H98" i="12" s="1"/>
  <c r="H103" i="12"/>
  <c r="K99" i="12"/>
  <c r="K98" i="12" s="1"/>
  <c r="K103" i="12"/>
  <c r="D99" i="12"/>
  <c r="D98" i="12" s="1"/>
  <c r="D103" i="12"/>
  <c r="L99" i="12"/>
  <c r="L98" i="12" s="1"/>
  <c r="L103" i="12"/>
  <c r="D95" i="6"/>
  <c r="C94" i="6"/>
  <c r="C70" i="6" s="1"/>
  <c r="C82" i="12"/>
  <c r="C63" i="12"/>
  <c r="G103" i="12"/>
  <c r="G99" i="12"/>
  <c r="G98" i="12" s="1"/>
  <c r="C74" i="6" l="1"/>
  <c r="C68" i="12" s="1"/>
  <c r="C70" i="12" s="1"/>
  <c r="C78" i="12" s="1"/>
  <c r="C126" i="12"/>
  <c r="C130" i="12" s="1"/>
  <c r="D122" i="12"/>
  <c r="C49" i="12"/>
  <c r="D45" i="12"/>
  <c r="C86" i="12"/>
  <c r="D82" i="12"/>
  <c r="E95" i="6"/>
  <c r="D94" i="6"/>
  <c r="D70" i="6" s="1"/>
  <c r="D74" i="6" s="1"/>
  <c r="C108" i="12" l="1"/>
  <c r="C110" i="12" s="1"/>
  <c r="C118" i="12" s="1"/>
  <c r="C120" i="12" s="1"/>
  <c r="C31" i="12"/>
  <c r="C33" i="12" s="1"/>
  <c r="C41" i="12" s="1"/>
  <c r="C80" i="12"/>
  <c r="D68" i="12"/>
  <c r="D70" i="12" s="1"/>
  <c r="D78" i="12" s="1"/>
  <c r="D108" i="12"/>
  <c r="D110" i="12" s="1"/>
  <c r="D31" i="12"/>
  <c r="D33" i="12" s="1"/>
  <c r="F95" i="6"/>
  <c r="E94" i="6"/>
  <c r="E70" i="6" s="1"/>
  <c r="D86" i="12"/>
  <c r="E82" i="12"/>
  <c r="D49" i="12"/>
  <c r="E45" i="12"/>
  <c r="D126" i="12"/>
  <c r="D130" i="12" s="1"/>
  <c r="E122" i="12"/>
  <c r="D41" i="12" l="1"/>
  <c r="C43" i="12"/>
  <c r="D118" i="12"/>
  <c r="E74" i="6"/>
  <c r="E31" i="12" s="1"/>
  <c r="E33" i="12" s="1"/>
  <c r="D80" i="12"/>
  <c r="G95" i="6"/>
  <c r="F94" i="6"/>
  <c r="F70" i="6" s="1"/>
  <c r="F74" i="6" s="1"/>
  <c r="D120" i="12"/>
  <c r="D43" i="12"/>
  <c r="E126" i="12"/>
  <c r="E130" i="12" s="1"/>
  <c r="F122" i="12"/>
  <c r="E49" i="12"/>
  <c r="F45" i="12"/>
  <c r="E86" i="12"/>
  <c r="F82" i="12"/>
  <c r="E41" i="12" l="1"/>
  <c r="E43" i="12" s="1"/>
  <c r="E68" i="12"/>
  <c r="E70" i="12" s="1"/>
  <c r="E78" i="12" s="1"/>
  <c r="E80" i="12" s="1"/>
  <c r="E108" i="12"/>
  <c r="E110" i="12" s="1"/>
  <c r="E118" i="12" s="1"/>
  <c r="E120" i="12" s="1"/>
  <c r="F86" i="12"/>
  <c r="G82" i="12"/>
  <c r="F108" i="12"/>
  <c r="F110" i="12" s="1"/>
  <c r="F68" i="12"/>
  <c r="F70" i="12" s="1"/>
  <c r="F31" i="12"/>
  <c r="F33" i="12" s="1"/>
  <c r="F41" i="12" s="1"/>
  <c r="H95" i="6"/>
  <c r="G94" i="6"/>
  <c r="G70" i="6" s="1"/>
  <c r="G74" i="6" s="1"/>
  <c r="F49" i="12"/>
  <c r="G45" i="12"/>
  <c r="F126" i="12"/>
  <c r="F130" i="12" s="1"/>
  <c r="G122" i="12"/>
  <c r="F78" i="12" l="1"/>
  <c r="F118" i="12"/>
  <c r="F80" i="12"/>
  <c r="F120" i="12"/>
  <c r="H122" i="12"/>
  <c r="G126" i="12"/>
  <c r="G130" i="12" s="1"/>
  <c r="H45" i="12"/>
  <c r="G49" i="12"/>
  <c r="F43" i="12"/>
  <c r="G86" i="12"/>
  <c r="H82" i="12"/>
  <c r="G68" i="12"/>
  <c r="G70" i="12" s="1"/>
  <c r="G108" i="12"/>
  <c r="G110" i="12" s="1"/>
  <c r="G118" i="12" s="1"/>
  <c r="G31" i="12"/>
  <c r="G33" i="12" s="1"/>
  <c r="G41" i="12" s="1"/>
  <c r="I95" i="6"/>
  <c r="H94" i="6"/>
  <c r="H70" i="6" s="1"/>
  <c r="H74" i="6" s="1"/>
  <c r="G78" i="12" l="1"/>
  <c r="G80" i="12" s="1"/>
  <c r="G120" i="12"/>
  <c r="G43" i="12"/>
  <c r="I45" i="12"/>
  <c r="H49" i="12"/>
  <c r="H108" i="12"/>
  <c r="H110" i="12" s="1"/>
  <c r="H118" i="12" s="1"/>
  <c r="H68" i="12"/>
  <c r="H70" i="12" s="1"/>
  <c r="H31" i="12"/>
  <c r="H33" i="12" s="1"/>
  <c r="H41" i="12" s="1"/>
  <c r="J95" i="6"/>
  <c r="I94" i="6"/>
  <c r="I70" i="6" s="1"/>
  <c r="H126" i="12"/>
  <c r="H130" i="12" s="1"/>
  <c r="I122" i="12"/>
  <c r="H86" i="12"/>
  <c r="I82" i="12"/>
  <c r="H78" i="12" l="1"/>
  <c r="I74" i="6"/>
  <c r="I31" i="12" s="1"/>
  <c r="I33" i="12" s="1"/>
  <c r="I41" i="12" s="1"/>
  <c r="H80" i="12"/>
  <c r="H120" i="12"/>
  <c r="J82" i="12"/>
  <c r="I86" i="12"/>
  <c r="I49" i="12"/>
  <c r="J45" i="12"/>
  <c r="J122" i="12"/>
  <c r="I126" i="12"/>
  <c r="I130" i="12" s="1"/>
  <c r="H43" i="12"/>
  <c r="K95" i="6"/>
  <c r="J94" i="6"/>
  <c r="J70" i="6" s="1"/>
  <c r="J74" i="6" s="1"/>
  <c r="I68" i="12" l="1"/>
  <c r="I70" i="12" s="1"/>
  <c r="I78" i="12" s="1"/>
  <c r="I108" i="12"/>
  <c r="I110" i="12" s="1"/>
  <c r="I118" i="12" s="1"/>
  <c r="I120" i="12" s="1"/>
  <c r="I43" i="12"/>
  <c r="I80" i="12"/>
  <c r="J126" i="12"/>
  <c r="J130" i="12" s="1"/>
  <c r="K122" i="12"/>
  <c r="K45" i="12"/>
  <c r="J49" i="12"/>
  <c r="J108" i="12"/>
  <c r="J110" i="12" s="1"/>
  <c r="J31" i="12"/>
  <c r="J33" i="12" s="1"/>
  <c r="J41" i="12" s="1"/>
  <c r="J68" i="12"/>
  <c r="J70" i="12" s="1"/>
  <c r="J78" i="12" s="1"/>
  <c r="L95" i="6"/>
  <c r="L94" i="6" s="1"/>
  <c r="K94" i="6"/>
  <c r="K70" i="6" s="1"/>
  <c r="K74" i="6" s="1"/>
  <c r="K82" i="12"/>
  <c r="J86" i="12"/>
  <c r="J118" i="12" l="1"/>
  <c r="J120" i="12" s="1"/>
  <c r="J43" i="12"/>
  <c r="J80" i="12"/>
  <c r="L45" i="12"/>
  <c r="L49" i="12" s="1"/>
  <c r="K49" i="12"/>
  <c r="K126" i="12"/>
  <c r="K130" i="12" s="1"/>
  <c r="L122" i="12"/>
  <c r="L126" i="12" s="1"/>
  <c r="K86" i="12"/>
  <c r="L82" i="12"/>
  <c r="L86" i="12" s="1"/>
  <c r="K68" i="12"/>
  <c r="K70" i="12" s="1"/>
  <c r="K78" i="12" s="1"/>
  <c r="K31" i="12"/>
  <c r="K33" i="12" s="1"/>
  <c r="K41" i="12" s="1"/>
  <c r="K108" i="12"/>
  <c r="K110" i="12" s="1"/>
  <c r="K118" i="12" s="1"/>
  <c r="L97" i="6"/>
  <c r="L70" i="6"/>
  <c r="L74" i="6" l="1"/>
  <c r="L108" i="12" s="1"/>
  <c r="L110" i="12" s="1"/>
  <c r="L118" i="12" s="1"/>
  <c r="B150" i="6"/>
  <c r="L142" i="6"/>
  <c r="K43" i="12"/>
  <c r="L116" i="12"/>
  <c r="L39" i="12"/>
  <c r="L76" i="12"/>
  <c r="L99" i="6"/>
  <c r="L128" i="12"/>
  <c r="L130" i="12" s="1"/>
  <c r="K120" i="12"/>
  <c r="K80" i="12"/>
  <c r="L31" i="12" l="1"/>
  <c r="L33" i="12" s="1"/>
  <c r="L41" i="12" s="1"/>
  <c r="L68" i="12"/>
  <c r="L70" i="12" s="1"/>
  <c r="L78" i="12" s="1"/>
  <c r="L80" i="12" s="1"/>
  <c r="B148" i="6"/>
  <c r="L144" i="6"/>
  <c r="L43" i="12"/>
  <c r="L12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tc={A9F5A88C-E7F6-495A-A1D2-79C3E1A2243A}</author>
  </authors>
  <commentList>
    <comment ref="A7" authorId="0" shapeId="0" xr:uid="{A9F5A88C-E7F6-495A-A1D2-79C3E1A2243A}">
      <text>
        <r>
          <rPr>
            <sz val="12"/>
            <color rgb="FF000000"/>
            <rFont val="Calibri"/>
            <family val="2"/>
          </rPr>
          <t xml:space="preserve">[Commentaire à thread]
</t>
        </r>
        <r>
          <rPr>
            <sz val="12"/>
            <color rgb="FF000000"/>
            <rFont val="Calibri"/>
            <family val="2"/>
          </rPr>
          <t xml:space="preserve">
</t>
        </r>
        <r>
          <rPr>
            <sz val="12"/>
            <color rgb="FF000000"/>
            <rFont val="Calibri"/>
            <family val="2"/>
          </rPr>
          <t xml:space="preserve">Votre version d’Excel vous permet de lire ce commentaire à thread. Toutefois, les modifications qui y sont apportées seront supprimées si le fichier est ouvert dans une version plus récente d’Excel. En savoir plus : https://go.microsoft.com/fwlink/?linkid=870924
</t>
        </r>
        <r>
          <rPr>
            <sz val="12"/>
            <color rgb="FF000000"/>
            <rFont val="Calibri"/>
            <family val="2"/>
          </rPr>
          <t xml:space="preserve">
</t>
        </r>
        <r>
          <rPr>
            <sz val="12"/>
            <color rgb="FF000000"/>
            <rFont val="Calibri"/>
            <family val="2"/>
          </rPr>
          <t xml:space="preserve">Commentaire :
</t>
        </r>
        <r>
          <rPr>
            <sz val="12"/>
            <color rgb="FF000000"/>
            <rFont val="Calibri"/>
            <family val="2"/>
          </rPr>
          <t xml:space="preserve">    La phrase initiale était "Nouvelle machine", nous avons rajouté "introduction fin de l'année 2" </t>
        </r>
      </text>
    </comment>
  </commentList>
</comments>
</file>

<file path=xl/sharedStrings.xml><?xml version="1.0" encoding="utf-8"?>
<sst xmlns="http://schemas.openxmlformats.org/spreadsheetml/2006/main" count="634" uniqueCount="284">
  <si>
    <t>Paramètres financiers</t>
  </si>
  <si>
    <t>Maroc</t>
  </si>
  <si>
    <t>Inde</t>
  </si>
  <si>
    <t>Prime de Risque du Marché des Actions  (PRMA - EMRP Damodaran)</t>
  </si>
  <si>
    <t>ß non endetté  (un-levered, ß de l'actif économique)</t>
  </si>
  <si>
    <t>Part des Capitaux Propres</t>
  </si>
  <si>
    <t>Part de l'Endettement Financier Net</t>
  </si>
  <si>
    <t>Prime de risque Pays  (CDS dette souveraine)</t>
  </si>
  <si>
    <t>Open</t>
  </si>
  <si>
    <t>High</t>
  </si>
  <si>
    <t>Low</t>
  </si>
  <si>
    <t>Close</t>
  </si>
  <si>
    <t>Adj Close</t>
  </si>
  <si>
    <t>12m</t>
  </si>
  <si>
    <t>cov(Rcorp;Rmarket)</t>
  </si>
  <si>
    <t>Var(Rmarket)</t>
  </si>
  <si>
    <t>ß 12m</t>
  </si>
  <si>
    <t>24m</t>
  </si>
  <si>
    <t>ß 24m</t>
  </si>
  <si>
    <t>36m</t>
  </si>
  <si>
    <t>ß 36m</t>
  </si>
  <si>
    <t xml:space="preserve">Date </t>
  </si>
  <si>
    <t>Coromandel</t>
  </si>
  <si>
    <t>Rcorom</t>
  </si>
  <si>
    <t>BSE</t>
  </si>
  <si>
    <t>Taux d'imposition des bénéfices</t>
  </si>
  <si>
    <t>ß endetté (formule d'Hamada)</t>
  </si>
  <si>
    <t>Exigence de rendement des actionnaires</t>
  </si>
  <si>
    <t>Taux sans risque  (dette souveraine)</t>
  </si>
  <si>
    <t>Taux d'intérêt de la dette financière</t>
  </si>
  <si>
    <t>Coût de la dette après impôts</t>
  </si>
  <si>
    <t>CMPC</t>
  </si>
  <si>
    <t>Book value per share</t>
  </si>
  <si>
    <t>Average stock price</t>
  </si>
  <si>
    <t>Price-To-Book  (MTB)</t>
  </si>
  <si>
    <t>Gearing comptable</t>
  </si>
  <si>
    <t>Gearing marché</t>
  </si>
  <si>
    <t>ß endetté</t>
  </si>
  <si>
    <t>ß sans dette  (T = 30%)</t>
  </si>
  <si>
    <t>Données</t>
  </si>
  <si>
    <t>Business Plan</t>
  </si>
  <si>
    <t xml:space="preserve"> </t>
  </si>
  <si>
    <t>Une machine nouvelle</t>
  </si>
  <si>
    <t>Valeur résiduelle année 10</t>
  </si>
  <si>
    <t>Taxation des plus-values</t>
  </si>
  <si>
    <t>Année</t>
  </si>
  <si>
    <t>Volume</t>
  </si>
  <si>
    <t>Ventes et coûts</t>
  </si>
  <si>
    <t>Coûts fixes</t>
  </si>
  <si>
    <t>Inflation sur le prix de vente</t>
  </si>
  <si>
    <t>Inflation sur les coûts</t>
  </si>
  <si>
    <t>Besoin en Fonds de Roulement</t>
  </si>
  <si>
    <t>Stocks de produits finis</t>
  </si>
  <si>
    <t>mois de production</t>
  </si>
  <si>
    <t>Stocks de matières premières</t>
  </si>
  <si>
    <t>mois d'achats</t>
  </si>
  <si>
    <t>Crédit clients</t>
  </si>
  <si>
    <t>jours de ventes</t>
  </si>
  <si>
    <t>Crédit fournisseurs</t>
  </si>
  <si>
    <t>jours d'achats</t>
  </si>
  <si>
    <t>Taux d'imposition</t>
  </si>
  <si>
    <t>Prévisions financières</t>
  </si>
  <si>
    <t>Années</t>
  </si>
  <si>
    <t>Prix de vente unitaire inflaté</t>
  </si>
  <si>
    <t>Coût variable unitaire inflaté</t>
  </si>
  <si>
    <t>Contribution unitaire</t>
  </si>
  <si>
    <t>Coûts fixes (inflatés)</t>
  </si>
  <si>
    <t>EBITDA</t>
  </si>
  <si>
    <t>EBIT</t>
  </si>
  <si>
    <t>Immobilisations brutes</t>
  </si>
  <si>
    <t>moins amortissements cumulés</t>
  </si>
  <si>
    <t>Crédit clients (A/R)</t>
  </si>
  <si>
    <t>Crédit fournisseurs (A/P)</t>
  </si>
  <si>
    <t>ROS - Contribution  (%)</t>
  </si>
  <si>
    <t>ROS  - EBITDA</t>
  </si>
  <si>
    <t>ROS - EBIT</t>
  </si>
  <si>
    <t>BFR / Ventes</t>
  </si>
  <si>
    <t>ATO</t>
  </si>
  <si>
    <t>ROCE</t>
  </si>
  <si>
    <t>Calcul VAN &amp; TIR</t>
  </si>
  <si>
    <t>∆EBITDA</t>
  </si>
  <si>
    <t>∆EBITDA * (1 - T)</t>
  </si>
  <si>
    <t>∆Amortissement</t>
  </si>
  <si>
    <t>T * ∆Amortissement</t>
  </si>
  <si>
    <t>Entrées de fonds anuelles</t>
  </si>
  <si>
    <t>Capex (cash out)</t>
  </si>
  <si>
    <t>Moins variation du BFR</t>
  </si>
  <si>
    <t>Valeur résiduelle de la machine</t>
  </si>
  <si>
    <t>moins impôt sur la plus-value</t>
  </si>
  <si>
    <t>Total cash in- et out-flows</t>
  </si>
  <si>
    <t>Cash-flows actualisés (DCF)</t>
  </si>
  <si>
    <t>DCF cumulés</t>
  </si>
  <si>
    <r>
      <t>T</t>
    </r>
    <r>
      <rPr>
        <sz val="14"/>
        <color theme="1"/>
        <rFont val="Calibri (Corps)_x0000_"/>
      </rPr>
      <t xml:space="preserve">aux </t>
    </r>
    <r>
      <rPr>
        <b/>
        <u/>
        <sz val="14"/>
        <color theme="1"/>
        <rFont val="Calibri (Corps)_x0000_"/>
      </rPr>
      <t>I</t>
    </r>
    <r>
      <rPr>
        <sz val="14"/>
        <color theme="1"/>
        <rFont val="Calibri (Corps)_x0000_"/>
      </rPr>
      <t xml:space="preserve">nterne de </t>
    </r>
    <r>
      <rPr>
        <b/>
        <u/>
        <sz val="14"/>
        <color theme="1"/>
        <rFont val="Calibri (Corps)_x0000_"/>
      </rPr>
      <t>R</t>
    </r>
    <r>
      <rPr>
        <sz val="14"/>
        <color theme="1"/>
        <rFont val="Calibri (Corps)_x0000_"/>
      </rPr>
      <t>entabilité (TIR)</t>
    </r>
  </si>
  <si>
    <t>Payback financier</t>
  </si>
  <si>
    <t>années</t>
  </si>
  <si>
    <t>ZiadCo</t>
  </si>
  <si>
    <t>Achat de la roche auprès d'OCP</t>
  </si>
  <si>
    <t>Prix / tonne</t>
  </si>
  <si>
    <t>Nom</t>
  </si>
  <si>
    <t>Valeur</t>
  </si>
  <si>
    <t>Devise</t>
  </si>
  <si>
    <t>USD</t>
  </si>
  <si>
    <t>Prix de vente DAP</t>
  </si>
  <si>
    <t>PVDAP</t>
  </si>
  <si>
    <t>PRROC</t>
  </si>
  <si>
    <t>Consommation acide sulfurique / MT de DAP</t>
  </si>
  <si>
    <t>Prix acide sulfurique importé</t>
  </si>
  <si>
    <t>PRACS</t>
  </si>
  <si>
    <t>CONSOACS</t>
  </si>
  <si>
    <t>CONSOACP</t>
  </si>
  <si>
    <t>PRACP</t>
  </si>
  <si>
    <t>Consommation acide phosphorique / MT de DAP</t>
  </si>
  <si>
    <t>CNY</t>
  </si>
  <si>
    <t>QROC</t>
  </si>
  <si>
    <t>Capacité de l'usine (en milliers de tonnes métriques)</t>
  </si>
  <si>
    <t>Montée en charge</t>
  </si>
  <si>
    <t>CFX</t>
  </si>
  <si>
    <t>CAPEX</t>
  </si>
  <si>
    <t>Taux de change</t>
  </si>
  <si>
    <t>Roche</t>
  </si>
  <si>
    <t>Acide Sulfurique</t>
  </si>
  <si>
    <t>Acide Phosphorique</t>
  </si>
  <si>
    <t>Prix de vente</t>
  </si>
  <si>
    <t>Coût variable unitaire  total</t>
  </si>
  <si>
    <t>MSCV unitaire</t>
  </si>
  <si>
    <t>CRVU</t>
  </si>
  <si>
    <t>PVU</t>
  </si>
  <si>
    <t>Coûts fixes hors amortissement</t>
  </si>
  <si>
    <t>Amortissement annuel</t>
  </si>
  <si>
    <t>Coûts fixes totaux</t>
  </si>
  <si>
    <t>Seuil de rentabilité</t>
  </si>
  <si>
    <t>Capital social</t>
  </si>
  <si>
    <t>Réserves</t>
  </si>
  <si>
    <t xml:space="preserve"> (Frais financiers)</t>
  </si>
  <si>
    <t>EBT</t>
  </si>
  <si>
    <t xml:space="preserve"> (Taxes)</t>
  </si>
  <si>
    <t>TIS</t>
  </si>
  <si>
    <t>Taux d'inflation anticipé Inde</t>
  </si>
  <si>
    <t>Taux d'inflation anticipé Maroc</t>
  </si>
  <si>
    <t>INFM</t>
  </si>
  <si>
    <t>INFI</t>
  </si>
  <si>
    <t>TIR actionnaires  /  Inde</t>
  </si>
  <si>
    <t>TIR actionnaires  /  Maroc</t>
  </si>
  <si>
    <t>Valeur actuelle nette / actionnaires</t>
  </si>
  <si>
    <r>
      <rPr>
        <b/>
        <sz val="14"/>
        <color theme="1"/>
        <rFont val="Calibri"/>
        <family val="2"/>
        <scheme val="minor"/>
      </rPr>
      <t>ROCE</t>
    </r>
    <r>
      <rPr>
        <sz val="14"/>
        <color theme="1"/>
        <rFont val="Calibri"/>
        <family val="2"/>
        <scheme val="minor"/>
      </rPr>
      <t xml:space="preserve"> moyen après impôt</t>
    </r>
  </si>
  <si>
    <t>INR</t>
  </si>
  <si>
    <t>Prix de vente unitaire en INR</t>
  </si>
  <si>
    <t>Coût variable unitaire en INR</t>
  </si>
  <si>
    <t>k INR</t>
  </si>
  <si>
    <t>Total ventes (k INR)</t>
  </si>
  <si>
    <t>Contribution totale (k INR)</t>
  </si>
  <si>
    <r>
      <t>Structure d'endettement cible  (</t>
    </r>
    <r>
      <rPr>
        <i/>
        <sz val="12"/>
        <color theme="1"/>
        <rFont val="Calibri"/>
        <family val="2"/>
        <scheme val="minor"/>
      </rPr>
      <t>target gearing</t>
    </r>
    <r>
      <rPr>
        <sz val="12"/>
        <color theme="1"/>
        <rFont val="Calibri"/>
        <family val="2"/>
        <scheme val="minor"/>
      </rPr>
      <t>)</t>
    </r>
  </si>
  <si>
    <t>Le volume croît, puis se stabilise à 1.000</t>
  </si>
  <si>
    <t>Le volume croît, puis se stabilise à 500, investissement initial faible</t>
  </si>
  <si>
    <t>Le volume croît, puis se stabilise à 1.000, investissement initial faible, puis augmentation de capacité</t>
  </si>
  <si>
    <t>Inflation Inde</t>
  </si>
  <si>
    <t>Inflation Maroc</t>
  </si>
  <si>
    <t>Inflation prix vente</t>
  </si>
  <si>
    <t>Inflation coûts de revient</t>
  </si>
  <si>
    <t>Investissement</t>
  </si>
  <si>
    <t xml:space="preserve"> (Amortissement)</t>
  </si>
  <si>
    <t xml:space="preserve"> (milliers de T)</t>
  </si>
  <si>
    <t>Calcul des coûts</t>
  </si>
  <si>
    <t>Quantité de roche / MT (tonne métrique) de DAP</t>
  </si>
  <si>
    <t>Moyenne ß sans dette</t>
  </si>
  <si>
    <t xml:space="preserve"> =========&gt;</t>
  </si>
  <si>
    <t>Year average</t>
  </si>
  <si>
    <t>Rbse</t>
  </si>
  <si>
    <t>Tonne</t>
  </si>
  <si>
    <t>4 et suivantes</t>
  </si>
  <si>
    <t>Le volume croît, puis se stabilise à 500, investissement pour pleine capacité anticipée</t>
  </si>
  <si>
    <t>Prix acide phosphorique</t>
  </si>
  <si>
    <t xml:space="preserve"> =</t>
  </si>
  <si>
    <t xml:space="preserve"> *</t>
  </si>
  <si>
    <t xml:space="preserve"> /</t>
  </si>
  <si>
    <t>USD / T</t>
  </si>
  <si>
    <t>Conso</t>
  </si>
  <si>
    <t>Total coûts Matières Premières</t>
  </si>
  <si>
    <t>CNY / T</t>
  </si>
  <si>
    <t>Prime de risque dette financière</t>
  </si>
  <si>
    <t>Prix de vente et coûts de revient</t>
  </si>
  <si>
    <t>Coûts fixes monétaires (inflatés)</t>
  </si>
  <si>
    <t>TRI actionnaires  /  Inde</t>
  </si>
  <si>
    <t>TRI actionnaires  /  Maroc</t>
  </si>
  <si>
    <r>
      <t>T</t>
    </r>
    <r>
      <rPr>
        <sz val="14"/>
        <color theme="1"/>
        <rFont val="Calibri (Corps)_x0000_"/>
      </rPr>
      <t xml:space="preserve">aux de </t>
    </r>
    <r>
      <rPr>
        <b/>
        <u/>
        <sz val="14"/>
        <color theme="1"/>
        <rFont val="Calibri (Corps)_x0000_"/>
      </rPr>
      <t>R</t>
    </r>
    <r>
      <rPr>
        <sz val="14"/>
        <color theme="1"/>
        <rFont val="Calibri (Corps)_x0000_"/>
      </rPr>
      <t>entabilité Interne  (TRI)</t>
    </r>
  </si>
  <si>
    <t>Calcul VAN &amp; TRI</t>
  </si>
  <si>
    <t>Ratios clés</t>
  </si>
  <si>
    <t>Consolidation</t>
  </si>
  <si>
    <t>Taux de participation</t>
  </si>
  <si>
    <t>Mise en équivalence</t>
  </si>
  <si>
    <t>Intégration globale</t>
  </si>
  <si>
    <t>Intégration globale avec intérêts minoritaires</t>
  </si>
  <si>
    <t>MEE</t>
  </si>
  <si>
    <t>INTG</t>
  </si>
  <si>
    <t>INTGIM</t>
  </si>
  <si>
    <t>P&amp;L</t>
  </si>
  <si>
    <t>Résultat net de la période</t>
  </si>
  <si>
    <t>Résultat global consolidé</t>
  </si>
  <si>
    <t>Écart de conversion</t>
  </si>
  <si>
    <t>Bilan</t>
  </si>
  <si>
    <t>Participation dans les co-entreprises</t>
  </si>
  <si>
    <t>Résultat des co-entreprises</t>
  </si>
  <si>
    <t>Trésorerie</t>
  </si>
  <si>
    <t>Impact Actif</t>
  </si>
  <si>
    <t>Réserves consolidées</t>
  </si>
  <si>
    <t>Autres réserves - écarts de conversion</t>
  </si>
  <si>
    <t>Impact Passif</t>
  </si>
  <si>
    <t>Tableau de financement</t>
  </si>
  <si>
    <t>Apports (retours) actionnaire</t>
  </si>
  <si>
    <t>Intégration globale à 100%</t>
  </si>
  <si>
    <t>Actif net intégré</t>
  </si>
  <si>
    <t>Intégration globale à 80%</t>
  </si>
  <si>
    <t>Résultat net consolidé de la période</t>
  </si>
  <si>
    <t xml:space="preserve">   -  dont intérêts minoritaires</t>
  </si>
  <si>
    <t xml:space="preserve">   -  part du Groupe</t>
  </si>
  <si>
    <t>Capitaux propres - part du Groupe</t>
  </si>
  <si>
    <t>Intérêts minoritaires</t>
  </si>
  <si>
    <t>(</t>
  </si>
  <si>
    <t>)</t>
  </si>
  <si>
    <t>Capex (k INR)</t>
  </si>
  <si>
    <t>Introduction d'une nouvelle machine,
fin de l'année 2</t>
  </si>
  <si>
    <r>
      <rPr>
        <sz val="12"/>
        <rFont val="Calibri"/>
        <family val="2"/>
      </rPr>
      <t xml:space="preserve">INR </t>
    </r>
    <r>
      <rPr>
        <sz val="12"/>
        <rFont val="Calibri"/>
        <family val="2"/>
        <scheme val="minor"/>
      </rPr>
      <t>/ T</t>
    </r>
  </si>
  <si>
    <r>
      <rPr>
        <b/>
        <sz val="12"/>
        <rFont val="Calibri"/>
        <family val="2"/>
      </rPr>
      <t xml:space="preserve">INR </t>
    </r>
    <r>
      <rPr>
        <b/>
        <sz val="12"/>
        <rFont val="Calibri"/>
        <family val="2"/>
        <scheme val="minor"/>
      </rPr>
      <t>/ T</t>
    </r>
  </si>
  <si>
    <t>Groupe</t>
  </si>
  <si>
    <t>Projet</t>
  </si>
  <si>
    <r>
      <t xml:space="preserve">Résultat net </t>
    </r>
    <r>
      <rPr>
        <b/>
        <sz val="14"/>
        <rFont val="Calibri"/>
        <family val="2"/>
      </rPr>
      <t>en k INR</t>
    </r>
  </si>
  <si>
    <t>Mouvements sur le capital social en k INR</t>
  </si>
  <si>
    <t xml:space="preserve"> = Immobilisations nettes en k INR</t>
  </si>
  <si>
    <t>Besoin en Fonds de Roulement en k INR</t>
  </si>
  <si>
    <t>Capitaux Engagés en k INR</t>
  </si>
  <si>
    <t>Capitaux Propres en k INR</t>
  </si>
  <si>
    <t>Dettes financières nettes en k INR</t>
  </si>
  <si>
    <t>Ressources financières nettes en k INR</t>
  </si>
  <si>
    <t xml:space="preserve">ROCE </t>
  </si>
  <si>
    <t>M INR</t>
  </si>
  <si>
    <t>NS</t>
  </si>
  <si>
    <t>Total ventes (M INR)</t>
  </si>
  <si>
    <t>Contribution totale (M INR)</t>
  </si>
  <si>
    <t>Résultat net en M INR</t>
  </si>
  <si>
    <t>Mouvements sur le capital social en M INR</t>
  </si>
  <si>
    <t xml:space="preserve"> = Immobilisations nettes en M INR</t>
  </si>
  <si>
    <t>Besoin en Fonds de Roulement en M INR</t>
  </si>
  <si>
    <t>Capitaux Engagés en  INR</t>
  </si>
  <si>
    <t>Capitaux Propres en M INR</t>
  </si>
  <si>
    <t>Dettes financières nettes en M INR</t>
  </si>
  <si>
    <t>Ressources financières nettes en M INR</t>
  </si>
  <si>
    <t>Capex (M INR)</t>
  </si>
  <si>
    <r>
      <t>V</t>
    </r>
    <r>
      <rPr>
        <sz val="14"/>
        <color theme="1"/>
        <rFont val="Calibri (Corps)_x0000_"/>
      </rPr>
      <t xml:space="preserve">aleur </t>
    </r>
    <r>
      <rPr>
        <b/>
        <u/>
        <sz val="14"/>
        <color theme="1"/>
        <rFont val="Calibri (Corps)_x0000_"/>
      </rPr>
      <t>A</t>
    </r>
    <r>
      <rPr>
        <sz val="14"/>
        <color theme="1"/>
        <rFont val="Calibri (Corps)_x0000_"/>
      </rPr>
      <t xml:space="preserve">ctuelle </t>
    </r>
    <r>
      <rPr>
        <b/>
        <u/>
        <sz val="14"/>
        <color theme="1"/>
        <rFont val="Calibri (Corps)_x0000_"/>
      </rPr>
      <t>N</t>
    </r>
    <r>
      <rPr>
        <sz val="14"/>
        <color theme="1"/>
        <rFont val="Calibri (Corps)_x0000_"/>
      </rPr>
      <t>ette (VAN)</t>
    </r>
    <r>
      <rPr>
        <b/>
        <u/>
        <sz val="14"/>
        <color theme="1"/>
        <rFont val="Calibri"/>
        <family val="2"/>
        <scheme val="minor"/>
      </rPr>
      <t xml:space="preserve"> </t>
    </r>
    <r>
      <rPr>
        <sz val="14"/>
        <color theme="1"/>
        <rFont val="Calibri (Corps)"/>
      </rPr>
      <t>en M INR</t>
    </r>
  </si>
  <si>
    <r>
      <t xml:space="preserve">Résultat net </t>
    </r>
    <r>
      <rPr>
        <b/>
        <sz val="14"/>
        <rFont val="Calibri"/>
        <family val="2"/>
      </rPr>
      <t>en M INR</t>
    </r>
  </si>
  <si>
    <t>Capitaux Engagés en M INR</t>
  </si>
  <si>
    <t>Ressources financières nettes en kMINR</t>
  </si>
  <si>
    <t>(en M MAD)</t>
  </si>
  <si>
    <t xml:space="preserve">1 MAD = </t>
  </si>
  <si>
    <t>USD / MAD</t>
  </si>
  <si>
    <t>CNY / MAD</t>
  </si>
  <si>
    <r>
      <rPr>
        <sz val="12"/>
        <rFont val="Calibri"/>
        <family val="2"/>
      </rPr>
      <t>INR</t>
    </r>
    <r>
      <rPr>
        <sz val="12"/>
        <rFont val="Calibri"/>
        <family val="2"/>
        <scheme val="minor"/>
      </rPr>
      <t xml:space="preserve"> / MAD</t>
    </r>
  </si>
  <si>
    <t>Investissements industriels ( Capex ) en milions</t>
  </si>
  <si>
    <t>Coûts fixes avant inflation  (en millions)</t>
  </si>
  <si>
    <t>ROE</t>
  </si>
  <si>
    <t>Croissance des capitaux engagés</t>
  </si>
  <si>
    <t>Taux de change prévisionnel MAD / INR</t>
  </si>
  <si>
    <t>Mouvements en M MAD</t>
  </si>
  <si>
    <t>M MAD</t>
  </si>
  <si>
    <t>Mouvements en k MAD</t>
  </si>
  <si>
    <t>Onglets</t>
  </si>
  <si>
    <t>Situation</t>
  </si>
  <si>
    <t>Beta Coromandel</t>
  </si>
  <si>
    <t>BP 500 capacité réduite</t>
  </si>
  <si>
    <t>BP 500 pleine capacité</t>
  </si>
  <si>
    <t>Business Plan par étages</t>
  </si>
  <si>
    <t>Information relative aux volumes, à la capacité, aux investissements industriels et aux coûts de revient</t>
  </si>
  <si>
    <t>Calcul des coûts de revient, marge sur coûts variables et seuil de rentabilité en mobilisant les cours des devises</t>
  </si>
  <si>
    <t>Graphe présentant l'évolution du ß de Coromandel</t>
  </si>
  <si>
    <t>Calcul du CMPC projet et de l'exigence de rendement de l'actionnaire marocain</t>
  </si>
  <si>
    <t>Construction des documents comptables et financiers prévisionnels, calcul des flux de fonds générés par le projet, calcul des VAN, TRI et payback du projet, estimation des contributions et restitutions aux actionnaires, calcul des TRI actionnaires indien et marocain</t>
  </si>
  <si>
    <t>Mêmes calculs que précédemment, mais en limitant le volume stabilisé à 500k tonnes avec une capacité de 1.000k tonnes</t>
  </si>
  <si>
    <t>Mêmes calculs que précédemment, mais en limitant le volume stabilisé à 500k tonnes avec une capacité de 500k tonnes</t>
  </si>
  <si>
    <t>Mêmes calculs que précédemment, avec un volume stabilisé à 1.000k tonnes mais une capacité initiale de 500k tonnes portée à 1.000k tonnes</t>
  </si>
  <si>
    <t>Impact du projet sur les comptes consolidés de l'actionnaire marocain suivant 3 hypothèses : consolidation par mise en équivalence avec 40% des actions, intégration totale avec 100% des actions, intégration totale avec 80% et traitement comptable des actionnaires minoritaires</t>
  </si>
  <si>
    <t>Données boursières et financières de Coromandel permettant d'estimer le ß non-endetté du projet</t>
  </si>
  <si>
    <t>Autres coûts directs</t>
  </si>
  <si>
    <t>Coûts fixes en k INR</t>
  </si>
  <si>
    <t>Capex (MM INR)</t>
  </si>
  <si>
    <t>Méthode de consolidation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</si>
</sst>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_ ;_ * \(#,##0.00\)_ ;_ * &quot;-&quot;??_)_ ;_ @_ "/>
    <numFmt numFmtId="164" formatCode="0.0%"/>
    <numFmt numFmtId="165" formatCode="#,##0.00;\(#,##0.00\)"/>
    <numFmt numFmtId="166" formatCode="0.0%;\(0.0%\)"/>
    <numFmt numFmtId="167" formatCode="#,##0;\(#,##0\)"/>
    <numFmt numFmtId="168" formatCode="_ * #,##0_)\ _$_ ;_ * \(#,##0\)\ _$_ ;_ * &quot;-&quot;??_)\ _$_ ;_ @_ "/>
    <numFmt numFmtId="169" formatCode="#,##0.0;\(#,##0.0\)"/>
    <numFmt numFmtId="170" formatCode="0%;\(0%\)"/>
  </numFmts>
  <fonts count="41">
    <font>
      <sz val="12"/>
      <color theme="1"/>
      <name val="Calibri"/>
      <family val="2"/>
      <scheme val="minor"/>
    </font>
    <font>
      <sz val="12"/>
      <name val="Calibri"/>
      <family val="2"/>
    </font>
    <font>
      <sz val="12"/>
      <color theme="1"/>
      <name val="Calibri"/>
      <family val="2"/>
      <scheme val="minor"/>
    </font>
    <font>
      <b/>
      <sz val="12"/>
      <color theme="1"/>
      <name val="Calibri"/>
      <family val="2"/>
      <scheme val="minor"/>
    </font>
    <font>
      <b/>
      <sz val="14"/>
      <color theme="1"/>
      <name val="Calibri"/>
      <family val="2"/>
      <scheme val="minor"/>
    </font>
    <font>
      <b/>
      <sz val="14"/>
      <color rgb="FFC00000"/>
      <name val="Calibri"/>
      <family val="2"/>
      <scheme val="minor"/>
    </font>
    <font>
      <b/>
      <sz val="16"/>
      <color theme="1"/>
      <name val="Calibri"/>
      <family val="2"/>
      <scheme val="minor"/>
    </font>
    <font>
      <sz val="14"/>
      <color theme="1"/>
      <name val="Calibri"/>
      <family val="2"/>
      <scheme val="minor"/>
    </font>
    <font>
      <b/>
      <u/>
      <sz val="22"/>
      <color theme="1"/>
      <name val="Calibri"/>
      <family val="2"/>
      <scheme val="minor"/>
    </font>
    <font>
      <b/>
      <u/>
      <sz val="14"/>
      <color theme="1"/>
      <name val="Calibri"/>
      <family val="2"/>
      <scheme val="minor"/>
    </font>
    <font>
      <sz val="14"/>
      <color theme="1"/>
      <name val="Calibri (Corps)_x0000_"/>
    </font>
    <font>
      <b/>
      <u/>
      <sz val="14"/>
      <color theme="1"/>
      <name val="Calibri (Corps)_x0000_"/>
    </font>
    <font>
      <b/>
      <sz val="20"/>
      <color rgb="FFC00000"/>
      <name val="Calibri"/>
      <family val="2"/>
      <scheme val="minor"/>
    </font>
    <font>
      <sz val="8"/>
      <name val="Calibri"/>
      <family val="2"/>
      <scheme val="minor"/>
    </font>
    <font>
      <i/>
      <sz val="12"/>
      <color theme="1"/>
      <name val="Calibri"/>
      <family val="2"/>
      <scheme val="minor"/>
    </font>
    <font>
      <sz val="14"/>
      <color rgb="FFC00000"/>
      <name val="Calibri"/>
      <family val="2"/>
      <scheme val="minor"/>
    </font>
    <font>
      <sz val="16"/>
      <color theme="1"/>
      <name val="Calibri"/>
      <family val="2"/>
      <scheme val="minor"/>
    </font>
    <font>
      <b/>
      <u/>
      <sz val="22"/>
      <color rgb="FFC00000"/>
      <name val="Calibri"/>
      <family val="2"/>
      <scheme val="minor"/>
    </font>
    <font>
      <b/>
      <sz val="16"/>
      <color rgb="FFC00000"/>
      <name val="Calibri"/>
      <family val="2"/>
      <scheme val="minor"/>
    </font>
    <font>
      <b/>
      <sz val="16"/>
      <color theme="4"/>
      <name val="Calibri"/>
      <family val="2"/>
      <scheme val="minor"/>
    </font>
    <font>
      <b/>
      <sz val="14"/>
      <color theme="4"/>
      <name val="Calibri"/>
      <family val="2"/>
      <scheme val="minor"/>
    </font>
    <font>
      <sz val="12"/>
      <color rgb="FFFF0000"/>
      <name val="Calibri"/>
      <family val="2"/>
      <scheme val="minor"/>
    </font>
    <font>
      <sz val="14"/>
      <color rgb="FFFF0000"/>
      <name val="Calibri"/>
      <family val="2"/>
      <scheme val="minor"/>
    </font>
    <font>
      <sz val="14"/>
      <name val="Calibri"/>
      <family val="2"/>
      <scheme val="minor"/>
    </font>
    <font>
      <b/>
      <sz val="14"/>
      <color rgb="FFFF0000"/>
      <name val="Calibri"/>
      <family val="2"/>
      <scheme val="minor"/>
    </font>
    <font>
      <b/>
      <sz val="14"/>
      <name val="Calibri"/>
      <family val="2"/>
      <scheme val="minor"/>
    </font>
    <font>
      <sz val="12"/>
      <name val="Calibri"/>
      <family val="2"/>
      <scheme val="minor"/>
    </font>
    <font>
      <b/>
      <sz val="12"/>
      <name val="Calibri"/>
      <family val="2"/>
      <scheme val="minor"/>
    </font>
    <font>
      <b/>
      <sz val="12"/>
      <name val="Calibri"/>
      <family val="2"/>
    </font>
    <font>
      <b/>
      <sz val="14"/>
      <name val="Calibri"/>
      <family val="2"/>
    </font>
    <font>
      <i/>
      <sz val="14"/>
      <name val="Calibri"/>
      <family val="2"/>
      <scheme val="minor"/>
    </font>
    <font>
      <sz val="12"/>
      <color rgb="FFC00000"/>
      <name val="Calibri"/>
      <family val="2"/>
      <scheme val="minor"/>
    </font>
    <font>
      <sz val="12"/>
      <color theme="0"/>
      <name val="Calibri"/>
      <family val="2"/>
      <scheme val="minor"/>
    </font>
    <font>
      <sz val="12"/>
      <color rgb="FF000000"/>
      <name val="Calibri"/>
      <family val="2"/>
    </font>
    <font>
      <sz val="14"/>
      <color theme="1"/>
      <name val="Calibri (Corps)"/>
    </font>
    <font>
      <sz val="12"/>
      <color theme="1"/>
      <name val="Calibri (Corps)"/>
    </font>
    <font>
      <b/>
      <sz val="14"/>
      <color theme="1"/>
      <name val="Calibri (Corps)"/>
    </font>
    <font>
      <b/>
      <sz val="12"/>
      <color theme="1"/>
      <name val="Calibri (Corps)"/>
    </font>
    <font>
      <sz val="12"/>
      <color theme="4"/>
      <name val="Calibri"/>
      <family val="2"/>
      <scheme val="minor"/>
    </font>
    <font>
      <sz val="18"/>
      <color theme="4"/>
      <name val="Verdana"/>
      <family val="2"/>
    </font>
    <font>
      <sz val="14"/>
      <name val="Verdana"/>
      <family val="2"/>
    </font>
  </fonts>
  <fills count="3">
    <fill>
      <patternFill patternType="none"/>
    </fill>
    <fill>
      <patternFill patternType="gray125"/>
    </fill>
    <fill>
      <patternFill patternType="solid">
        <fgColor theme="9"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theme="9"/>
      </left>
      <right style="thick">
        <color theme="9"/>
      </right>
      <top style="thick">
        <color theme="9"/>
      </top>
      <bottom style="thick">
        <color theme="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284">
    <xf numFmtId="0" fontId="0" fillId="0" borderId="0" xfId="0"/>
    <xf numFmtId="0" fontId="0" fillId="0" borderId="0" xfId="0" applyAlignment="1">
      <alignment horizontal="center"/>
    </xf>
    <xf numFmtId="0" fontId="4" fillId="0" borderId="0" xfId="0" applyFont="1" applyAlignment="1">
      <alignment horizontal="center"/>
    </xf>
    <xf numFmtId="2" fontId="4" fillId="0" borderId="0" xfId="0" applyNumberFormat="1" applyFont="1" applyAlignment="1">
      <alignment horizontal="center"/>
    </xf>
    <xf numFmtId="165" fontId="4" fillId="0" borderId="0" xfId="0" applyNumberFormat="1" applyFont="1" applyAlignment="1">
      <alignment horizontal="center"/>
    </xf>
    <xf numFmtId="1" fontId="4" fillId="0" borderId="0" xfId="0" applyNumberFormat="1" applyFont="1" applyAlignment="1">
      <alignment horizontal="center"/>
    </xf>
    <xf numFmtId="166" fontId="0" fillId="0" borderId="0" xfId="0" applyNumberFormat="1" applyAlignment="1">
      <alignment horizontal="center"/>
    </xf>
    <xf numFmtId="165" fontId="0" fillId="0" borderId="0" xfId="0" applyNumberFormat="1" applyAlignment="1">
      <alignment horizontal="center"/>
    </xf>
    <xf numFmtId="165" fontId="0" fillId="0" borderId="0" xfId="0" applyNumberFormat="1"/>
    <xf numFmtId="1" fontId="0" fillId="0" borderId="0" xfId="0" applyNumberFormat="1" applyAlignment="1">
      <alignment horizontal="center"/>
    </xf>
    <xf numFmtId="3" fontId="0" fillId="0" borderId="0" xfId="0" applyNumberFormat="1" applyAlignment="1">
      <alignment horizontal="center"/>
    </xf>
    <xf numFmtId="0" fontId="3" fillId="0" borderId="0" xfId="0" applyFont="1"/>
    <xf numFmtId="0" fontId="5" fillId="0" borderId="0" xfId="0" applyFont="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1" xfId="0" applyBorder="1" applyAlignment="1">
      <alignment horizontal="center"/>
    </xf>
    <xf numFmtId="2" fontId="0" fillId="0" borderId="11" xfId="0" applyNumberFormat="1" applyBorder="1" applyAlignment="1">
      <alignment horizontal="center"/>
    </xf>
    <xf numFmtId="165" fontId="0" fillId="0" borderId="11" xfId="0" applyNumberFormat="1" applyBorder="1" applyAlignment="1">
      <alignment horizontal="center"/>
    </xf>
    <xf numFmtId="0" fontId="0" fillId="0" borderId="12" xfId="0" applyBorder="1"/>
    <xf numFmtId="167" fontId="6" fillId="0" borderId="13" xfId="0" applyNumberFormat="1" applyFont="1" applyBorder="1" applyAlignment="1">
      <alignment horizontal="center" vertical="center"/>
    </xf>
    <xf numFmtId="167" fontId="7" fillId="0" borderId="0" xfId="0" applyNumberFormat="1" applyFont="1"/>
    <xf numFmtId="167" fontId="8" fillId="0" borderId="0" xfId="0" applyNumberFormat="1" applyFont="1" applyAlignment="1">
      <alignment horizontal="center"/>
    </xf>
    <xf numFmtId="0" fontId="6" fillId="0" borderId="0" xfId="0" applyFont="1" applyAlignment="1">
      <alignment horizontal="center"/>
    </xf>
    <xf numFmtId="0" fontId="7" fillId="0" borderId="0" xfId="0" applyFont="1"/>
    <xf numFmtId="167" fontId="4" fillId="0" borderId="0" xfId="0" applyNumberFormat="1" applyFont="1" applyAlignment="1">
      <alignment horizontal="center"/>
    </xf>
    <xf numFmtId="0" fontId="7" fillId="0" borderId="14" xfId="0" applyFont="1" applyBorder="1"/>
    <xf numFmtId="168" fontId="7" fillId="0" borderId="15" xfId="1" applyNumberFormat="1" applyFont="1" applyBorder="1" applyAlignment="1">
      <alignment horizontal="center"/>
    </xf>
    <xf numFmtId="0" fontId="7" fillId="0" borderId="16" xfId="0" applyFont="1" applyBorder="1"/>
    <xf numFmtId="9" fontId="7" fillId="0" borderId="15" xfId="0" applyNumberFormat="1" applyFont="1" applyBorder="1" applyAlignment="1">
      <alignment horizontal="center"/>
    </xf>
    <xf numFmtId="0" fontId="4" fillId="0" borderId="0" xfId="0" applyFont="1"/>
    <xf numFmtId="3" fontId="7" fillId="0" borderId="1" xfId="0" applyNumberFormat="1" applyFont="1" applyBorder="1" applyAlignment="1">
      <alignment horizontal="center"/>
    </xf>
    <xf numFmtId="0" fontId="7" fillId="0" borderId="15" xfId="0" applyFont="1" applyBorder="1"/>
    <xf numFmtId="167" fontId="7" fillId="0" borderId="2" xfId="0" applyNumberFormat="1" applyFont="1" applyBorder="1"/>
    <xf numFmtId="167" fontId="7" fillId="0" borderId="3" xfId="0" applyNumberFormat="1" applyFont="1" applyBorder="1"/>
    <xf numFmtId="9" fontId="7" fillId="0" borderId="3" xfId="2" applyFont="1" applyFill="1" applyBorder="1"/>
    <xf numFmtId="167" fontId="7" fillId="0" borderId="4" xfId="0" applyNumberFormat="1" applyFont="1" applyBorder="1"/>
    <xf numFmtId="167" fontId="7" fillId="0" borderId="5" xfId="0" applyNumberFormat="1" applyFont="1" applyBorder="1"/>
    <xf numFmtId="169" fontId="7" fillId="0" borderId="0" xfId="0" applyNumberFormat="1" applyFont="1"/>
    <xf numFmtId="167" fontId="7" fillId="0" borderId="6" xfId="0" applyNumberFormat="1" applyFont="1" applyBorder="1"/>
    <xf numFmtId="167" fontId="7" fillId="0" borderId="7" xfId="0" applyNumberFormat="1" applyFont="1" applyBorder="1"/>
    <xf numFmtId="167" fontId="7" fillId="0" borderId="8" xfId="0" applyNumberFormat="1" applyFont="1" applyBorder="1"/>
    <xf numFmtId="9" fontId="7" fillId="0" borderId="8" xfId="2" applyFont="1" applyFill="1" applyBorder="1"/>
    <xf numFmtId="167" fontId="7" fillId="0" borderId="9" xfId="0" applyNumberFormat="1" applyFont="1" applyBorder="1"/>
    <xf numFmtId="9" fontId="7" fillId="0" borderId="0" xfId="2" applyFont="1" applyFill="1" applyBorder="1"/>
    <xf numFmtId="0" fontId="4" fillId="0" borderId="14" xfId="0" applyFont="1" applyBorder="1" applyAlignment="1">
      <alignment horizontal="center"/>
    </xf>
    <xf numFmtId="9" fontId="4" fillId="0" borderId="14" xfId="2" applyFont="1" applyFill="1" applyBorder="1"/>
    <xf numFmtId="167" fontId="4" fillId="0" borderId="16" xfId="0" applyNumberFormat="1" applyFont="1" applyBorder="1"/>
    <xf numFmtId="0" fontId="7" fillId="0" borderId="10" xfId="0" applyFont="1" applyBorder="1"/>
    <xf numFmtId="167" fontId="7" fillId="0" borderId="10" xfId="0" applyNumberFormat="1" applyFont="1" applyBorder="1"/>
    <xf numFmtId="0" fontId="7" fillId="0" borderId="11" xfId="0" applyFont="1" applyBorder="1" applyAlignment="1">
      <alignment horizontal="center"/>
    </xf>
    <xf numFmtId="3" fontId="7" fillId="0" borderId="11" xfId="0" applyNumberFormat="1" applyFont="1" applyBorder="1" applyAlignment="1">
      <alignment horizontal="center"/>
    </xf>
    <xf numFmtId="169" fontId="7" fillId="0" borderId="11" xfId="0" applyNumberFormat="1" applyFont="1" applyBorder="1" applyAlignment="1">
      <alignment horizontal="center"/>
    </xf>
    <xf numFmtId="165" fontId="4" fillId="0" borderId="11" xfId="0" applyNumberFormat="1" applyFont="1" applyBorder="1" applyAlignment="1">
      <alignment horizontal="center"/>
    </xf>
    <xf numFmtId="169" fontId="4" fillId="0" borderId="11" xfId="0" applyNumberFormat="1" applyFont="1" applyBorder="1" applyAlignment="1">
      <alignment horizontal="center"/>
    </xf>
    <xf numFmtId="0" fontId="4" fillId="0" borderId="11" xfId="0" applyFont="1" applyBorder="1" applyAlignment="1">
      <alignment horizontal="center"/>
    </xf>
    <xf numFmtId="167" fontId="7" fillId="0" borderId="11" xfId="0" applyNumberFormat="1" applyFont="1" applyBorder="1" applyAlignment="1">
      <alignment horizontal="center"/>
    </xf>
    <xf numFmtId="9" fontId="7" fillId="0" borderId="11" xfId="0" applyNumberFormat="1" applyFont="1" applyBorder="1" applyAlignment="1">
      <alignment horizontal="center"/>
    </xf>
    <xf numFmtId="167" fontId="4" fillId="0" borderId="11" xfId="0" applyNumberFormat="1" applyFont="1" applyBorder="1" applyAlignment="1">
      <alignment horizontal="center"/>
    </xf>
    <xf numFmtId="9" fontId="4" fillId="0" borderId="11" xfId="0" applyNumberFormat="1" applyFont="1" applyBorder="1" applyAlignment="1">
      <alignment horizontal="center"/>
    </xf>
    <xf numFmtId="167" fontId="7" fillId="0" borderId="12" xfId="0" applyNumberFormat="1" applyFont="1" applyBorder="1" applyAlignment="1">
      <alignment horizontal="center"/>
    </xf>
    <xf numFmtId="9" fontId="7" fillId="0" borderId="12" xfId="0" applyNumberFormat="1" applyFont="1" applyBorder="1" applyAlignment="1">
      <alignment horizontal="center"/>
    </xf>
    <xf numFmtId="167" fontId="7" fillId="0" borderId="10" xfId="0" applyNumberFormat="1" applyFont="1" applyBorder="1" applyAlignment="1">
      <alignment horizontal="center"/>
    </xf>
    <xf numFmtId="9" fontId="7" fillId="0" borderId="10" xfId="0" applyNumberFormat="1" applyFont="1" applyBorder="1" applyAlignment="1">
      <alignment horizontal="center"/>
    </xf>
    <xf numFmtId="166" fontId="7" fillId="0" borderId="11" xfId="0" applyNumberFormat="1" applyFont="1" applyBorder="1" applyAlignment="1">
      <alignment horizontal="left"/>
    </xf>
    <xf numFmtId="166" fontId="7" fillId="0" borderId="11" xfId="0" applyNumberFormat="1" applyFont="1" applyBorder="1" applyAlignment="1">
      <alignment horizontal="center"/>
    </xf>
    <xf numFmtId="167" fontId="7" fillId="0" borderId="11" xfId="0" applyNumberFormat="1" applyFont="1" applyBorder="1" applyAlignment="1">
      <alignment horizontal="left"/>
    </xf>
    <xf numFmtId="167" fontId="7" fillId="0" borderId="0" xfId="0" applyNumberFormat="1" applyFont="1" applyAlignment="1">
      <alignment horizontal="center"/>
    </xf>
    <xf numFmtId="9" fontId="7" fillId="0" borderId="0" xfId="0" applyNumberFormat="1" applyFont="1" applyAlignment="1">
      <alignment horizontal="center"/>
    </xf>
    <xf numFmtId="0" fontId="7" fillId="0" borderId="1" xfId="0" applyFont="1" applyBorder="1" applyAlignment="1">
      <alignment horizontal="center"/>
    </xf>
    <xf numFmtId="167" fontId="7" fillId="0" borderId="11" xfId="0" applyNumberFormat="1" applyFont="1" applyBorder="1"/>
    <xf numFmtId="167" fontId="7" fillId="0" borderId="12" xfId="0" applyNumberFormat="1" applyFont="1" applyBorder="1"/>
    <xf numFmtId="0" fontId="12" fillId="0" borderId="0" xfId="0" applyFont="1" applyAlignment="1">
      <alignment horizontal="center"/>
    </xf>
    <xf numFmtId="3" fontId="7" fillId="0" borderId="15" xfId="0" applyNumberFormat="1" applyFont="1" applyBorder="1" applyAlignment="1">
      <alignment horizontal="center"/>
    </xf>
    <xf numFmtId="167" fontId="0" fillId="0" borderId="0" xfId="0" applyNumberFormat="1"/>
    <xf numFmtId="169" fontId="0" fillId="0" borderId="0" xfId="0" applyNumberFormat="1"/>
    <xf numFmtId="3" fontId="7" fillId="0" borderId="16" xfId="0" applyNumberFormat="1" applyFont="1" applyBorder="1" applyAlignment="1">
      <alignment horizontal="center"/>
    </xf>
    <xf numFmtId="167" fontId="3" fillId="0" borderId="0" xfId="0" applyNumberFormat="1" applyFont="1"/>
    <xf numFmtId="167" fontId="9" fillId="0" borderId="5" xfId="0" applyNumberFormat="1" applyFont="1" applyBorder="1"/>
    <xf numFmtId="167" fontId="9" fillId="0" borderId="0" xfId="0" applyNumberFormat="1" applyFont="1"/>
    <xf numFmtId="9" fontId="4" fillId="0" borderId="0" xfId="2" applyFont="1" applyBorder="1" applyAlignment="1">
      <alignment horizontal="center"/>
    </xf>
    <xf numFmtId="9" fontId="4" fillId="0" borderId="6" xfId="0" applyNumberFormat="1" applyFont="1" applyBorder="1" applyAlignment="1">
      <alignment horizontal="center"/>
    </xf>
    <xf numFmtId="167" fontId="4" fillId="0" borderId="5" xfId="0" applyNumberFormat="1" applyFont="1" applyBorder="1"/>
    <xf numFmtId="0" fontId="7" fillId="0" borderId="17" xfId="0" applyFont="1" applyBorder="1"/>
    <xf numFmtId="0" fontId="7" fillId="0" borderId="18" xfId="0" applyFont="1" applyBorder="1"/>
    <xf numFmtId="0" fontId="7" fillId="0" borderId="19" xfId="0" applyFont="1" applyBorder="1"/>
    <xf numFmtId="0" fontId="4" fillId="0" borderId="20" xfId="0" applyFont="1" applyBorder="1" applyAlignment="1">
      <alignment horizontal="center"/>
    </xf>
    <xf numFmtId="3" fontId="7" fillId="0" borderId="0" xfId="0" applyNumberFormat="1" applyFont="1" applyAlignment="1">
      <alignment horizontal="center"/>
    </xf>
    <xf numFmtId="0" fontId="7" fillId="0" borderId="21" xfId="0" applyFont="1" applyBorder="1"/>
    <xf numFmtId="0" fontId="7" fillId="0" borderId="20" xfId="0" applyFont="1" applyBorder="1"/>
    <xf numFmtId="3" fontId="7" fillId="0" borderId="0" xfId="1" applyNumberFormat="1" applyFont="1" applyBorder="1" applyAlignment="1">
      <alignment horizontal="center"/>
    </xf>
    <xf numFmtId="0" fontId="7" fillId="0" borderId="22" xfId="0" applyFont="1" applyBorder="1"/>
    <xf numFmtId="0" fontId="7" fillId="0" borderId="23" xfId="0" applyFont="1" applyBorder="1"/>
    <xf numFmtId="0" fontId="7" fillId="0" borderId="24" xfId="0" applyFont="1" applyBorder="1"/>
    <xf numFmtId="170" fontId="4" fillId="0" borderId="0" xfId="0" applyNumberFormat="1" applyFont="1" applyAlignment="1">
      <alignment horizontal="center"/>
    </xf>
    <xf numFmtId="164" fontId="15" fillId="0" borderId="15" xfId="2" applyNumberFormat="1" applyFont="1" applyFill="1" applyBorder="1" applyAlignment="1">
      <alignment horizontal="center"/>
    </xf>
    <xf numFmtId="9" fontId="15" fillId="0" borderId="15" xfId="2" applyFont="1" applyFill="1" applyBorder="1" applyAlignment="1">
      <alignment horizontal="center"/>
    </xf>
    <xf numFmtId="167" fontId="7" fillId="0" borderId="0" xfId="1" applyNumberFormat="1" applyFont="1" applyBorder="1" applyAlignment="1">
      <alignment horizontal="center"/>
    </xf>
    <xf numFmtId="168" fontId="15" fillId="0" borderId="15" xfId="1" applyNumberFormat="1" applyFont="1" applyBorder="1" applyAlignment="1">
      <alignment horizontal="center"/>
    </xf>
    <xf numFmtId="0" fontId="5" fillId="0" borderId="0" xfId="0" applyFont="1"/>
    <xf numFmtId="0" fontId="16" fillId="2" borderId="25" xfId="0" applyFont="1" applyFill="1" applyBorder="1"/>
    <xf numFmtId="0" fontId="16" fillId="2" borderId="26" xfId="0" applyFont="1" applyFill="1" applyBorder="1"/>
    <xf numFmtId="9" fontId="16" fillId="2" borderId="27" xfId="0" applyNumberFormat="1" applyFont="1" applyFill="1" applyBorder="1" applyAlignment="1">
      <alignment horizontal="center"/>
    </xf>
    <xf numFmtId="0" fontId="16" fillId="2" borderId="28" xfId="0" applyFont="1" applyFill="1" applyBorder="1"/>
    <xf numFmtId="0" fontId="16" fillId="2" borderId="29" xfId="0" applyFont="1" applyFill="1" applyBorder="1"/>
    <xf numFmtId="9" fontId="16" fillId="2" borderId="30" xfId="0" applyNumberFormat="1" applyFont="1" applyFill="1" applyBorder="1" applyAlignment="1">
      <alignment horizontal="center"/>
    </xf>
    <xf numFmtId="0" fontId="16" fillId="2" borderId="31" xfId="0" applyFont="1" applyFill="1" applyBorder="1"/>
    <xf numFmtId="0" fontId="16" fillId="2" borderId="32" xfId="0" applyFont="1" applyFill="1" applyBorder="1"/>
    <xf numFmtId="9" fontId="16" fillId="2" borderId="33" xfId="0" applyNumberFormat="1" applyFont="1" applyFill="1" applyBorder="1" applyAlignment="1">
      <alignment horizontal="center"/>
    </xf>
    <xf numFmtId="0" fontId="0" fillId="0" borderId="16" xfId="0" applyBorder="1"/>
    <xf numFmtId="9" fontId="4" fillId="0" borderId="0" xfId="2" applyFont="1" applyFill="1" applyBorder="1"/>
    <xf numFmtId="167" fontId="4" fillId="0" borderId="0" xfId="0" applyNumberFormat="1" applyFont="1"/>
    <xf numFmtId="9" fontId="15" fillId="0" borderId="0" xfId="2" applyFont="1" applyFill="1" applyBorder="1" applyAlignment="1">
      <alignment horizontal="center"/>
    </xf>
    <xf numFmtId="0" fontId="0" fillId="0" borderId="10" xfId="0" applyBorder="1" applyAlignment="1">
      <alignment horizontal="center" vertical="center"/>
    </xf>
    <xf numFmtId="0" fontId="4" fillId="0" borderId="11" xfId="0" applyFont="1" applyBorder="1" applyAlignment="1">
      <alignment horizontal="center" vertical="center"/>
    </xf>
    <xf numFmtId="0" fontId="0" fillId="0" borderId="11" xfId="0" applyBorder="1" applyAlignment="1">
      <alignment horizontal="center" vertical="center"/>
    </xf>
    <xf numFmtId="0" fontId="0" fillId="0" borderId="2" xfId="0" applyBorder="1"/>
    <xf numFmtId="0" fontId="0" fillId="0" borderId="3" xfId="0"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3" fontId="0" fillId="0" borderId="8" xfId="0" applyNumberFormat="1" applyBorder="1" applyAlignment="1">
      <alignment horizontal="center"/>
    </xf>
    <xf numFmtId="9" fontId="0" fillId="0" borderId="0" xfId="0" applyNumberFormat="1" applyAlignment="1">
      <alignment horizontal="center"/>
    </xf>
    <xf numFmtId="9" fontId="0" fillId="0" borderId="8" xfId="0" applyNumberFormat="1" applyBorder="1" applyAlignment="1">
      <alignment horizontal="center"/>
    </xf>
    <xf numFmtId="3" fontId="0" fillId="0" borderId="3" xfId="0" applyNumberForma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3" fontId="0" fillId="0" borderId="11" xfId="0" applyNumberFormat="1" applyBorder="1" applyAlignment="1">
      <alignment horizontal="center"/>
    </xf>
    <xf numFmtId="9" fontId="0" fillId="0" borderId="11" xfId="0" applyNumberFormat="1" applyBorder="1" applyAlignment="1">
      <alignment horizontal="center"/>
    </xf>
    <xf numFmtId="0" fontId="0" fillId="0" borderId="35" xfId="0" applyBorder="1"/>
    <xf numFmtId="0" fontId="0" fillId="0" borderId="36" xfId="0" applyBorder="1"/>
    <xf numFmtId="0" fontId="0" fillId="0" borderId="36" xfId="0" applyBorder="1" applyAlignment="1">
      <alignment horizontal="center"/>
    </xf>
    <xf numFmtId="3" fontId="0" fillId="0" borderId="34" xfId="0" applyNumberFormat="1" applyBorder="1" applyAlignment="1">
      <alignment horizontal="center"/>
    </xf>
    <xf numFmtId="0" fontId="0" fillId="0" borderId="34" xfId="0" applyBorder="1" applyAlignment="1">
      <alignment horizontal="center"/>
    </xf>
    <xf numFmtId="164" fontId="0" fillId="0" borderId="11" xfId="0" applyNumberFormat="1" applyBorder="1" applyAlignment="1">
      <alignment horizontal="center"/>
    </xf>
    <xf numFmtId="164" fontId="3" fillId="0" borderId="11" xfId="0" applyNumberFormat="1" applyFont="1" applyBorder="1" applyAlignment="1">
      <alignment horizontal="center"/>
    </xf>
    <xf numFmtId="0" fontId="3" fillId="0" borderId="11" xfId="0" applyFont="1" applyBorder="1" applyAlignment="1">
      <alignment horizontal="center"/>
    </xf>
    <xf numFmtId="9" fontId="3" fillId="0" borderId="11" xfId="0" applyNumberFormat="1" applyFont="1" applyBorder="1" applyAlignment="1">
      <alignment horizontal="center"/>
    </xf>
    <xf numFmtId="164" fontId="0" fillId="0" borderId="0" xfId="0" applyNumberFormat="1" applyAlignment="1">
      <alignment horizontal="center"/>
    </xf>
    <xf numFmtId="164" fontId="16" fillId="2" borderId="30" xfId="0" applyNumberFormat="1" applyFont="1" applyFill="1" applyBorder="1" applyAlignment="1">
      <alignment horizontal="center"/>
    </xf>
    <xf numFmtId="2" fontId="0" fillId="0" borderId="0" xfId="0" applyNumberFormat="1" applyAlignment="1">
      <alignment horizontal="center"/>
    </xf>
    <xf numFmtId="0" fontId="3" fillId="0" borderId="11" xfId="0" applyFont="1" applyBorder="1"/>
    <xf numFmtId="2" fontId="3" fillId="0" borderId="11" xfId="0" applyNumberFormat="1" applyFont="1" applyBorder="1" applyAlignment="1">
      <alignment horizontal="center"/>
    </xf>
    <xf numFmtId="0" fontId="4"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4" fontId="0" fillId="0" borderId="0" xfId="0" applyNumberFormat="1" applyAlignment="1">
      <alignment horizontal="center"/>
    </xf>
    <xf numFmtId="9" fontId="0" fillId="0" borderId="10" xfId="0" applyNumberFormat="1" applyBorder="1" applyAlignment="1">
      <alignment horizontal="center" vertical="center"/>
    </xf>
    <xf numFmtId="167" fontId="0" fillId="0" borderId="10" xfId="0" applyNumberFormat="1" applyBorder="1" applyAlignment="1">
      <alignment horizontal="center" vertical="center"/>
    </xf>
    <xf numFmtId="9" fontId="0" fillId="0" borderId="11" xfId="0" applyNumberFormat="1" applyBorder="1" applyAlignment="1">
      <alignment horizontal="center" vertical="center"/>
    </xf>
    <xf numFmtId="167" fontId="0" fillId="0" borderId="11" xfId="0" applyNumberFormat="1" applyBorder="1" applyAlignment="1">
      <alignment horizontal="center" vertical="center"/>
    </xf>
    <xf numFmtId="0" fontId="0" fillId="0" borderId="12" xfId="0" applyBorder="1" applyAlignment="1">
      <alignment horizontal="center" vertical="center" wrapText="1"/>
    </xf>
    <xf numFmtId="9" fontId="0" fillId="0" borderId="12" xfId="0" applyNumberFormat="1" applyBorder="1" applyAlignment="1">
      <alignment horizontal="center" vertical="center"/>
    </xf>
    <xf numFmtId="167" fontId="0" fillId="0" borderId="12" xfId="0" applyNumberFormat="1" applyBorder="1" applyAlignment="1">
      <alignment horizontal="center" vertical="center"/>
    </xf>
    <xf numFmtId="167" fontId="17" fillId="0" borderId="0" xfId="0" applyNumberFormat="1" applyFont="1" applyAlignment="1">
      <alignment horizontal="center"/>
    </xf>
    <xf numFmtId="0" fontId="3" fillId="0" borderId="5" xfId="0" applyFont="1" applyBorder="1"/>
    <xf numFmtId="3" fontId="3" fillId="0" borderId="0" xfId="0" applyNumberFormat="1" applyFont="1" applyAlignment="1">
      <alignment horizontal="center"/>
    </xf>
    <xf numFmtId="0" fontId="3" fillId="0" borderId="0" xfId="0" applyFont="1" applyAlignment="1">
      <alignment horizontal="center"/>
    </xf>
    <xf numFmtId="1" fontId="0" fillId="0" borderId="11" xfId="0" applyNumberFormat="1" applyBorder="1" applyAlignment="1">
      <alignment horizontal="center"/>
    </xf>
    <xf numFmtId="167" fontId="4" fillId="0" borderId="12" xfId="0" applyNumberFormat="1" applyFont="1" applyBorder="1" applyAlignment="1">
      <alignment horizontal="center"/>
    </xf>
    <xf numFmtId="9" fontId="4" fillId="0" borderId="12" xfId="0" applyNumberFormat="1" applyFont="1" applyBorder="1" applyAlignment="1">
      <alignment horizontal="center"/>
    </xf>
    <xf numFmtId="164" fontId="4" fillId="0" borderId="6" xfId="0" applyNumberFormat="1" applyFont="1" applyBorder="1" applyAlignment="1">
      <alignment horizontal="center"/>
    </xf>
    <xf numFmtId="164" fontId="4" fillId="0" borderId="0" xfId="0" applyNumberFormat="1" applyFont="1" applyAlignment="1">
      <alignment horizontal="center"/>
    </xf>
    <xf numFmtId="164" fontId="4" fillId="0" borderId="0" xfId="2" applyNumberFormat="1" applyFont="1" applyBorder="1" applyAlignment="1">
      <alignment horizontal="center"/>
    </xf>
    <xf numFmtId="0" fontId="18" fillId="0" borderId="0" xfId="0" applyFont="1" applyAlignment="1">
      <alignment horizontal="left"/>
    </xf>
    <xf numFmtId="0" fontId="7" fillId="0" borderId="0" xfId="0" applyFont="1" applyAlignment="1">
      <alignment horizontal="center"/>
    </xf>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16" fillId="0" borderId="0" xfId="0" applyFont="1" applyAlignment="1">
      <alignment horizontal="center" vertical="center"/>
    </xf>
    <xf numFmtId="0" fontId="16" fillId="0" borderId="0" xfId="0" applyFont="1"/>
    <xf numFmtId="0" fontId="16" fillId="0" borderId="0" xfId="0" applyFont="1" applyAlignment="1">
      <alignment horizontal="center"/>
    </xf>
    <xf numFmtId="0" fontId="7" fillId="0" borderId="6" xfId="0" applyFont="1" applyBorder="1"/>
    <xf numFmtId="9" fontId="16" fillId="0" borderId="0" xfId="0" applyNumberFormat="1" applyFont="1" applyAlignment="1">
      <alignment horizontal="center" vertical="center"/>
    </xf>
    <xf numFmtId="0" fontId="7" fillId="0" borderId="7" xfId="0" applyFont="1" applyBorder="1"/>
    <xf numFmtId="0" fontId="7" fillId="0" borderId="8" xfId="0" applyFont="1" applyBorder="1"/>
    <xf numFmtId="0" fontId="7" fillId="0" borderId="9" xfId="0" applyFont="1" applyBorder="1"/>
    <xf numFmtId="0" fontId="19" fillId="0" borderId="0" xfId="0" applyFont="1" applyAlignment="1">
      <alignment horizontal="center" vertical="center"/>
    </xf>
    <xf numFmtId="0" fontId="19" fillId="0" borderId="0" xfId="0" applyFont="1"/>
    <xf numFmtId="0" fontId="19" fillId="0" borderId="0" xfId="0" applyFont="1" applyAlignment="1">
      <alignment horizontal="center"/>
    </xf>
    <xf numFmtId="0" fontId="19" fillId="0" borderId="37" xfId="0" applyFont="1" applyBorder="1" applyAlignment="1">
      <alignment horizontal="center" vertical="center"/>
    </xf>
    <xf numFmtId="0" fontId="7" fillId="0" borderId="10" xfId="0" applyFont="1" applyBorder="1" applyAlignment="1">
      <alignment horizontal="center"/>
    </xf>
    <xf numFmtId="0" fontId="7" fillId="0" borderId="11" xfId="0" applyFont="1" applyBorder="1"/>
    <xf numFmtId="0" fontId="7" fillId="0" borderId="12" xfId="0" applyFont="1" applyBorder="1" applyAlignment="1">
      <alignment horizontal="center"/>
    </xf>
    <xf numFmtId="0" fontId="7" fillId="0" borderId="12" xfId="0" applyFont="1" applyBorder="1"/>
    <xf numFmtId="167" fontId="4" fillId="0" borderId="11" xfId="0" applyNumberFormat="1" applyFont="1" applyBorder="1"/>
    <xf numFmtId="167" fontId="20" fillId="0" borderId="11" xfId="0" applyNumberFormat="1" applyFont="1" applyBorder="1" applyAlignment="1">
      <alignment horizontal="center"/>
    </xf>
    <xf numFmtId="0" fontId="20" fillId="0" borderId="11" xfId="0" applyFont="1" applyBorder="1" applyAlignment="1">
      <alignment horizontal="center"/>
    </xf>
    <xf numFmtId="0" fontId="12" fillId="0" borderId="37" xfId="0" applyFont="1" applyBorder="1" applyAlignment="1">
      <alignment horizontal="center"/>
    </xf>
    <xf numFmtId="0" fontId="0" fillId="0" borderId="0" xfId="0" applyAlignment="1">
      <alignment horizontal="right"/>
    </xf>
    <xf numFmtId="0" fontId="0" fillId="0" borderId="0" xfId="0" applyAlignment="1">
      <alignment horizontal="left"/>
    </xf>
    <xf numFmtId="0" fontId="21" fillId="0" borderId="0" xfId="0" applyFont="1" applyAlignment="1">
      <alignment horizontal="center"/>
    </xf>
    <xf numFmtId="0" fontId="21" fillId="0" borderId="0" xfId="0" applyFont="1"/>
    <xf numFmtId="168" fontId="23" fillId="0" borderId="15" xfId="1" applyNumberFormat="1" applyFont="1" applyBorder="1" applyAlignment="1">
      <alignment horizontal="center"/>
    </xf>
    <xf numFmtId="167" fontId="22" fillId="0" borderId="11" xfId="0" applyNumberFormat="1" applyFont="1" applyBorder="1" applyAlignment="1">
      <alignment horizontal="center"/>
    </xf>
    <xf numFmtId="0" fontId="22" fillId="0" borderId="0" xfId="0" applyFont="1"/>
    <xf numFmtId="167" fontId="23" fillId="0" borderId="11" xfId="0" applyNumberFormat="1" applyFont="1" applyBorder="1" applyAlignment="1">
      <alignment horizontal="center"/>
    </xf>
    <xf numFmtId="9" fontId="22" fillId="0" borderId="11" xfId="0" applyNumberFormat="1" applyFont="1" applyBorder="1" applyAlignment="1">
      <alignment horizontal="center"/>
    </xf>
    <xf numFmtId="167" fontId="24" fillId="0" borderId="0" xfId="0" applyNumberFormat="1" applyFont="1" applyAlignment="1">
      <alignment horizontal="center"/>
    </xf>
    <xf numFmtId="10" fontId="21" fillId="0" borderId="0" xfId="0" applyNumberFormat="1" applyFont="1"/>
    <xf numFmtId="167" fontId="23" fillId="0" borderId="11" xfId="0" applyNumberFormat="1" applyFont="1" applyBorder="1" applyAlignment="1">
      <alignment horizontal="left"/>
    </xf>
    <xf numFmtId="9" fontId="0" fillId="0" borderId="0" xfId="0" applyNumberFormat="1"/>
    <xf numFmtId="167" fontId="25" fillId="0" borderId="0" xfId="0" applyNumberFormat="1" applyFont="1" applyAlignment="1">
      <alignment horizontal="left" vertical="center" wrapText="1"/>
    </xf>
    <xf numFmtId="3" fontId="26" fillId="0" borderId="0" xfId="0" applyNumberFormat="1" applyFont="1" applyAlignment="1">
      <alignment horizontal="center"/>
    </xf>
    <xf numFmtId="0" fontId="26" fillId="0" borderId="6" xfId="0" applyFont="1" applyBorder="1" applyAlignment="1">
      <alignment horizontal="center"/>
    </xf>
    <xf numFmtId="0" fontId="23" fillId="0" borderId="14" xfId="0" applyFont="1" applyBorder="1"/>
    <xf numFmtId="9" fontId="23" fillId="0" borderId="11" xfId="0" applyNumberFormat="1" applyFont="1" applyBorder="1" applyAlignment="1">
      <alignment horizontal="center"/>
    </xf>
    <xf numFmtId="0" fontId="25" fillId="0" borderId="11" xfId="0" applyFont="1" applyBorder="1" applyAlignment="1">
      <alignment horizontal="center"/>
    </xf>
    <xf numFmtId="0" fontId="25" fillId="0" borderId="20" xfId="0" applyFont="1" applyBorder="1" applyAlignment="1">
      <alignment horizontal="center"/>
    </xf>
    <xf numFmtId="167" fontId="23" fillId="0" borderId="11" xfId="0" applyNumberFormat="1" applyFont="1" applyBorder="1"/>
    <xf numFmtId="0" fontId="7" fillId="0" borderId="14" xfId="0" applyFont="1" applyBorder="1" applyAlignment="1">
      <alignment horizontal="left" vertical="center"/>
    </xf>
    <xf numFmtId="168" fontId="15" fillId="0" borderId="15" xfId="1" applyNumberFormat="1" applyFont="1" applyBorder="1" applyAlignment="1">
      <alignment horizontal="left" vertical="center"/>
    </xf>
    <xf numFmtId="0" fontId="7" fillId="0" borderId="16" xfId="0" applyFont="1" applyBorder="1" applyAlignment="1">
      <alignment horizontal="left" vertical="center"/>
    </xf>
    <xf numFmtId="0" fontId="7" fillId="0" borderId="0" xfId="0" applyFont="1" applyAlignment="1">
      <alignment horizontal="left" vertical="center"/>
    </xf>
    <xf numFmtId="9" fontId="7" fillId="0" borderId="0" xfId="0" applyNumberFormat="1" applyFont="1" applyAlignment="1">
      <alignment horizontal="left" vertical="center"/>
    </xf>
    <xf numFmtId="167" fontId="7" fillId="0" borderId="0" xfId="0" applyNumberFormat="1" applyFont="1" applyAlignment="1">
      <alignment horizontal="left" vertical="center"/>
    </xf>
    <xf numFmtId="0" fontId="24" fillId="0" borderId="0" xfId="0" applyFont="1" applyAlignment="1">
      <alignment horizontal="left" vertical="center"/>
    </xf>
    <xf numFmtId="0" fontId="0" fillId="0" borderId="0" xfId="0" applyAlignment="1">
      <alignment horizontal="left" vertical="center"/>
    </xf>
    <xf numFmtId="167" fontId="23" fillId="0" borderId="0" xfId="0" applyNumberFormat="1" applyFont="1"/>
    <xf numFmtId="0" fontId="23" fillId="0" borderId="0" xfId="0" applyFont="1"/>
    <xf numFmtId="0" fontId="30" fillId="0" borderId="0" xfId="0" applyFont="1" applyAlignment="1">
      <alignment horizontal="left"/>
    </xf>
    <xf numFmtId="10" fontId="31" fillId="0" borderId="11" xfId="0" applyNumberFormat="1" applyFont="1" applyBorder="1" applyAlignment="1">
      <alignment horizontal="center"/>
    </xf>
    <xf numFmtId="0" fontId="31" fillId="0" borderId="0" xfId="0" applyFont="1"/>
    <xf numFmtId="3" fontId="7" fillId="0" borderId="15" xfId="0" applyNumberFormat="1" applyFont="1" applyBorder="1" applyAlignment="1">
      <alignment horizontal="center" vertical="center"/>
    </xf>
    <xf numFmtId="10" fontId="0" fillId="0" borderId="11" xfId="0" applyNumberFormat="1" applyBorder="1" applyAlignment="1">
      <alignment horizontal="center"/>
    </xf>
    <xf numFmtId="0" fontId="35" fillId="0" borderId="0" xfId="0" applyFont="1"/>
    <xf numFmtId="0" fontId="37" fillId="0" borderId="0" xfId="0" applyFont="1"/>
    <xf numFmtId="167" fontId="37" fillId="0" borderId="0" xfId="0" applyNumberFormat="1" applyFont="1"/>
    <xf numFmtId="167" fontId="34" fillId="0" borderId="11" xfId="0" applyNumberFormat="1" applyFont="1" applyBorder="1" applyAlignment="1">
      <alignment horizontal="center"/>
    </xf>
    <xf numFmtId="9" fontId="34" fillId="0" borderId="11" xfId="0" applyNumberFormat="1" applyFont="1" applyBorder="1" applyAlignment="1">
      <alignment horizontal="center"/>
    </xf>
    <xf numFmtId="0" fontId="36" fillId="0" borderId="11" xfId="0" applyFont="1" applyBorder="1" applyAlignment="1">
      <alignment horizontal="center"/>
    </xf>
    <xf numFmtId="9" fontId="36" fillId="0" borderId="11" xfId="0" applyNumberFormat="1" applyFont="1" applyBorder="1" applyAlignment="1">
      <alignment horizontal="center"/>
    </xf>
    <xf numFmtId="167" fontId="36" fillId="0" borderId="11" xfId="0" applyNumberFormat="1" applyFont="1" applyBorder="1" applyAlignment="1">
      <alignment horizontal="center"/>
    </xf>
    <xf numFmtId="167" fontId="36" fillId="0" borderId="12" xfId="0" applyNumberFormat="1" applyFont="1" applyBorder="1" applyAlignment="1">
      <alignment horizontal="center"/>
    </xf>
    <xf numFmtId="9" fontId="36" fillId="0" borderId="12" xfId="0" applyNumberFormat="1" applyFont="1" applyBorder="1" applyAlignment="1">
      <alignment horizontal="center"/>
    </xf>
    <xf numFmtId="3" fontId="34" fillId="0" borderId="1" xfId="0" applyNumberFormat="1" applyFont="1" applyBorder="1" applyAlignment="1">
      <alignment horizontal="center"/>
    </xf>
    <xf numFmtId="167" fontId="34" fillId="0" borderId="12" xfId="0" applyNumberFormat="1" applyFont="1" applyBorder="1" applyAlignment="1">
      <alignment horizontal="center"/>
    </xf>
    <xf numFmtId="9" fontId="34" fillId="0" borderId="12" xfId="0" applyNumberFormat="1" applyFont="1" applyBorder="1" applyAlignment="1">
      <alignment horizontal="center"/>
    </xf>
    <xf numFmtId="167" fontId="34" fillId="0" borderId="10" xfId="0" applyNumberFormat="1" applyFont="1" applyBorder="1" applyAlignment="1">
      <alignment horizontal="center"/>
    </xf>
    <xf numFmtId="9" fontId="34" fillId="0" borderId="10" xfId="0" applyNumberFormat="1" applyFont="1" applyBorder="1" applyAlignment="1">
      <alignment horizontal="center"/>
    </xf>
    <xf numFmtId="169" fontId="34" fillId="0" borderId="11" xfId="0" applyNumberFormat="1" applyFont="1" applyBorder="1" applyAlignment="1">
      <alignment horizontal="center"/>
    </xf>
    <xf numFmtId="169" fontId="36" fillId="0" borderId="11" xfId="0" applyNumberFormat="1" applyFont="1" applyBorder="1" applyAlignment="1">
      <alignment horizontal="center"/>
    </xf>
    <xf numFmtId="0" fontId="32" fillId="0" borderId="0" xfId="0" applyFont="1"/>
    <xf numFmtId="0" fontId="27" fillId="0" borderId="0" xfId="0" applyFont="1" applyAlignment="1">
      <alignment horizontal="center"/>
    </xf>
    <xf numFmtId="0" fontId="26" fillId="0" borderId="0" xfId="0" applyFont="1" applyAlignment="1">
      <alignment horizontal="center"/>
    </xf>
    <xf numFmtId="0" fontId="0" fillId="0" borderId="1" xfId="0" applyBorder="1" applyAlignment="1">
      <alignment horizontal="center"/>
    </xf>
    <xf numFmtId="0" fontId="38" fillId="0" borderId="5" xfId="0" applyFont="1"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applyAlignment="1">
      <alignment horizontal="center"/>
    </xf>
    <xf numFmtId="1" fontId="0" fillId="0" borderId="42" xfId="0" applyNumberFormat="1" applyBorder="1" applyAlignment="1">
      <alignment horizontal="center"/>
    </xf>
    <xf numFmtId="2" fontId="0" fillId="0" borderId="42" xfId="0" applyNumberFormat="1" applyBorder="1" applyAlignment="1">
      <alignment horizontal="center"/>
    </xf>
    <xf numFmtId="0" fontId="0" fillId="0" borderId="42" xfId="0" applyBorder="1"/>
    <xf numFmtId="165" fontId="0" fillId="0" borderId="42" xfId="0" applyNumberFormat="1" applyBorder="1" applyAlignment="1">
      <alignment horizontal="center"/>
    </xf>
    <xf numFmtId="0" fontId="3" fillId="0" borderId="41" xfId="0" applyFont="1" applyBorder="1"/>
    <xf numFmtId="0" fontId="0" fillId="0" borderId="43" xfId="0" applyBorder="1"/>
    <xf numFmtId="0" fontId="0" fillId="0" borderId="44" xfId="0" applyBorder="1"/>
    <xf numFmtId="0" fontId="0" fillId="0" borderId="45" xfId="0" applyBorder="1"/>
    <xf numFmtId="0" fontId="21" fillId="0" borderId="5" xfId="0" applyFont="1" applyBorder="1"/>
    <xf numFmtId="0" fontId="0" fillId="0" borderId="46" xfId="0" applyBorder="1" applyAlignment="1">
      <alignment horizontal="center"/>
    </xf>
    <xf numFmtId="0" fontId="39" fillId="0" borderId="0" xfId="0" applyFont="1" applyAlignment="1">
      <alignment horizontal="center" vertical="center"/>
    </xf>
    <xf numFmtId="0" fontId="40" fillId="0" borderId="0" xfId="0" applyFont="1" applyAlignment="1">
      <alignment vertical="center"/>
    </xf>
    <xf numFmtId="0" fontId="40" fillId="0" borderId="10" xfId="0" applyFont="1" applyBorder="1" applyAlignment="1">
      <alignment vertical="center"/>
    </xf>
    <xf numFmtId="0" fontId="40" fillId="0" borderId="10" xfId="0" applyFont="1" applyBorder="1" applyAlignment="1">
      <alignment vertical="center" wrapText="1"/>
    </xf>
    <xf numFmtId="0" fontId="40" fillId="0" borderId="11" xfId="0" applyFont="1" applyBorder="1" applyAlignment="1">
      <alignment vertical="center"/>
    </xf>
    <xf numFmtId="0" fontId="40" fillId="0" borderId="11" xfId="0" applyFont="1" applyBorder="1" applyAlignment="1">
      <alignment vertical="center" wrapText="1"/>
    </xf>
    <xf numFmtId="0" fontId="40" fillId="0" borderId="12" xfId="0" applyFont="1" applyBorder="1" applyAlignment="1">
      <alignment vertical="center"/>
    </xf>
    <xf numFmtId="0" fontId="40" fillId="0" borderId="12" xfId="0" applyFont="1" applyBorder="1" applyAlignment="1">
      <alignment vertical="center" wrapText="1"/>
    </xf>
    <xf numFmtId="165" fontId="34" fillId="0" borderId="11" xfId="0" applyNumberFormat="1" applyFont="1" applyBorder="1" applyAlignment="1">
      <alignment horizontal="center"/>
    </xf>
    <xf numFmtId="167" fontId="35" fillId="0" borderId="0" xfId="0" applyNumberFormat="1" applyFont="1"/>
    <xf numFmtId="0" fontId="5" fillId="0" borderId="0" xfId="0" applyFont="1" applyAlignment="1">
      <alignment wrapText="1"/>
    </xf>
    <xf numFmtId="3" fontId="7" fillId="0" borderId="15" xfId="1" applyNumberFormat="1" applyFont="1" applyBorder="1" applyAlignment="1">
      <alignment horizontal="center"/>
    </xf>
    <xf numFmtId="0" fontId="21" fillId="0" borderId="5" xfId="0" applyFont="1" applyBorder="1"/>
    <xf numFmtId="0" fontId="0" fillId="0" borderId="0" xfId="0"/>
    <xf numFmtId="0" fontId="35" fillId="0" borderId="5" xfId="0" applyFont="1" applyBorder="1"/>
    <xf numFmtId="0" fontId="35" fillId="0" borderId="0" xfId="0" applyFont="1"/>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chartsheet" Target="chartsheets/sheet1.xml"/><Relationship Id="rId15" Type="http://schemas.openxmlformats.org/officeDocument/2006/relationships/calcChain" Target="calcChain.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3600"/>
              <a:t>Coromandel  -  Bêta</a:t>
            </a:r>
          </a:p>
        </c:rich>
      </c:tx>
      <c:overlay val="0"/>
      <c:spPr>
        <a:noFill/>
        <a:ln w="25400">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v>ß 12 mois</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Coromandel!$A$2:$A$172</c:f>
              <c:numCache>
                <c:formatCode>m/d/yy</c:formatCode>
                <c:ptCount val="171"/>
                <c:pt idx="0">
                  <c:v>44896</c:v>
                </c:pt>
                <c:pt idx="1">
                  <c:v>44866</c:v>
                </c:pt>
                <c:pt idx="2">
                  <c:v>44835</c:v>
                </c:pt>
                <c:pt idx="3">
                  <c:v>44805</c:v>
                </c:pt>
                <c:pt idx="4">
                  <c:v>44774</c:v>
                </c:pt>
                <c:pt idx="5">
                  <c:v>44743</c:v>
                </c:pt>
                <c:pt idx="6">
                  <c:v>44713</c:v>
                </c:pt>
                <c:pt idx="7">
                  <c:v>44682</c:v>
                </c:pt>
                <c:pt idx="8">
                  <c:v>44652</c:v>
                </c:pt>
                <c:pt idx="9">
                  <c:v>44621</c:v>
                </c:pt>
                <c:pt idx="10">
                  <c:v>44593</c:v>
                </c:pt>
                <c:pt idx="11">
                  <c:v>44562</c:v>
                </c:pt>
                <c:pt idx="12">
                  <c:v>44531</c:v>
                </c:pt>
                <c:pt idx="13">
                  <c:v>44501</c:v>
                </c:pt>
                <c:pt idx="14">
                  <c:v>44470</c:v>
                </c:pt>
                <c:pt idx="15">
                  <c:v>44440</c:v>
                </c:pt>
                <c:pt idx="16">
                  <c:v>44409</c:v>
                </c:pt>
                <c:pt idx="17">
                  <c:v>44378</c:v>
                </c:pt>
                <c:pt idx="18">
                  <c:v>44348</c:v>
                </c:pt>
                <c:pt idx="19">
                  <c:v>44317</c:v>
                </c:pt>
                <c:pt idx="20">
                  <c:v>44287</c:v>
                </c:pt>
                <c:pt idx="21">
                  <c:v>44256</c:v>
                </c:pt>
                <c:pt idx="22">
                  <c:v>44228</c:v>
                </c:pt>
                <c:pt idx="23">
                  <c:v>44197</c:v>
                </c:pt>
                <c:pt idx="24">
                  <c:v>44166</c:v>
                </c:pt>
                <c:pt idx="25">
                  <c:v>44136</c:v>
                </c:pt>
                <c:pt idx="26">
                  <c:v>44105</c:v>
                </c:pt>
                <c:pt idx="27">
                  <c:v>44075</c:v>
                </c:pt>
                <c:pt idx="28">
                  <c:v>44044</c:v>
                </c:pt>
                <c:pt idx="29">
                  <c:v>44013</c:v>
                </c:pt>
                <c:pt idx="30">
                  <c:v>43983</c:v>
                </c:pt>
                <c:pt idx="31">
                  <c:v>43952</c:v>
                </c:pt>
                <c:pt idx="32">
                  <c:v>43922</c:v>
                </c:pt>
                <c:pt idx="33">
                  <c:v>43891</c:v>
                </c:pt>
                <c:pt idx="34">
                  <c:v>43862</c:v>
                </c:pt>
                <c:pt idx="35">
                  <c:v>43831</c:v>
                </c:pt>
                <c:pt idx="36">
                  <c:v>43800</c:v>
                </c:pt>
                <c:pt idx="37">
                  <c:v>43770</c:v>
                </c:pt>
                <c:pt idx="38">
                  <c:v>43739</c:v>
                </c:pt>
                <c:pt idx="39">
                  <c:v>43709</c:v>
                </c:pt>
                <c:pt idx="40">
                  <c:v>43678</c:v>
                </c:pt>
                <c:pt idx="41">
                  <c:v>43647</c:v>
                </c:pt>
                <c:pt idx="42">
                  <c:v>43617</c:v>
                </c:pt>
                <c:pt idx="43">
                  <c:v>43586</c:v>
                </c:pt>
                <c:pt idx="44">
                  <c:v>43556</c:v>
                </c:pt>
                <c:pt idx="45">
                  <c:v>43525</c:v>
                </c:pt>
                <c:pt idx="46">
                  <c:v>43497</c:v>
                </c:pt>
                <c:pt idx="47">
                  <c:v>43466</c:v>
                </c:pt>
                <c:pt idx="48">
                  <c:v>43435</c:v>
                </c:pt>
                <c:pt idx="49">
                  <c:v>43405</c:v>
                </c:pt>
                <c:pt idx="50">
                  <c:v>43374</c:v>
                </c:pt>
                <c:pt idx="51">
                  <c:v>43344</c:v>
                </c:pt>
                <c:pt idx="52">
                  <c:v>43313</c:v>
                </c:pt>
                <c:pt idx="53">
                  <c:v>43282</c:v>
                </c:pt>
                <c:pt idx="54">
                  <c:v>43252</c:v>
                </c:pt>
                <c:pt idx="55">
                  <c:v>43221</c:v>
                </c:pt>
                <c:pt idx="56">
                  <c:v>43191</c:v>
                </c:pt>
                <c:pt idx="57">
                  <c:v>43160</c:v>
                </c:pt>
                <c:pt idx="58">
                  <c:v>43132</c:v>
                </c:pt>
                <c:pt idx="59">
                  <c:v>43101</c:v>
                </c:pt>
                <c:pt idx="60">
                  <c:v>43070</c:v>
                </c:pt>
                <c:pt idx="61">
                  <c:v>43040</c:v>
                </c:pt>
                <c:pt idx="62">
                  <c:v>43009</c:v>
                </c:pt>
                <c:pt idx="63">
                  <c:v>42979</c:v>
                </c:pt>
                <c:pt idx="64">
                  <c:v>42948</c:v>
                </c:pt>
                <c:pt idx="65">
                  <c:v>42917</c:v>
                </c:pt>
                <c:pt idx="66">
                  <c:v>42887</c:v>
                </c:pt>
                <c:pt idx="67">
                  <c:v>42856</c:v>
                </c:pt>
                <c:pt idx="68">
                  <c:v>42826</c:v>
                </c:pt>
                <c:pt idx="69">
                  <c:v>42795</c:v>
                </c:pt>
                <c:pt idx="70">
                  <c:v>42767</c:v>
                </c:pt>
                <c:pt idx="71">
                  <c:v>42736</c:v>
                </c:pt>
                <c:pt idx="72">
                  <c:v>42705</c:v>
                </c:pt>
                <c:pt idx="73">
                  <c:v>42675</c:v>
                </c:pt>
                <c:pt idx="74">
                  <c:v>42644</c:v>
                </c:pt>
                <c:pt idx="75">
                  <c:v>42614</c:v>
                </c:pt>
                <c:pt idx="76">
                  <c:v>42583</c:v>
                </c:pt>
                <c:pt idx="77">
                  <c:v>42552</c:v>
                </c:pt>
                <c:pt idx="78">
                  <c:v>42522</c:v>
                </c:pt>
                <c:pt idx="79">
                  <c:v>42491</c:v>
                </c:pt>
                <c:pt idx="80">
                  <c:v>42461</c:v>
                </c:pt>
                <c:pt idx="81">
                  <c:v>42430</c:v>
                </c:pt>
                <c:pt idx="82">
                  <c:v>42401</c:v>
                </c:pt>
                <c:pt idx="83">
                  <c:v>42370</c:v>
                </c:pt>
                <c:pt idx="84">
                  <c:v>42339</c:v>
                </c:pt>
                <c:pt idx="85">
                  <c:v>42309</c:v>
                </c:pt>
                <c:pt idx="86">
                  <c:v>42278</c:v>
                </c:pt>
                <c:pt idx="87">
                  <c:v>42248</c:v>
                </c:pt>
                <c:pt idx="88">
                  <c:v>42217</c:v>
                </c:pt>
                <c:pt idx="89">
                  <c:v>42186</c:v>
                </c:pt>
                <c:pt idx="90">
                  <c:v>42156</c:v>
                </c:pt>
                <c:pt idx="91">
                  <c:v>42125</c:v>
                </c:pt>
                <c:pt idx="92">
                  <c:v>42095</c:v>
                </c:pt>
                <c:pt idx="93">
                  <c:v>42064</c:v>
                </c:pt>
                <c:pt idx="94">
                  <c:v>42036</c:v>
                </c:pt>
                <c:pt idx="95">
                  <c:v>42005</c:v>
                </c:pt>
                <c:pt idx="96">
                  <c:v>41974</c:v>
                </c:pt>
                <c:pt idx="97">
                  <c:v>41944</c:v>
                </c:pt>
                <c:pt idx="98">
                  <c:v>41913</c:v>
                </c:pt>
                <c:pt idx="99">
                  <c:v>41883</c:v>
                </c:pt>
                <c:pt idx="100">
                  <c:v>41852</c:v>
                </c:pt>
                <c:pt idx="101">
                  <c:v>41821</c:v>
                </c:pt>
                <c:pt idx="102">
                  <c:v>41791</c:v>
                </c:pt>
                <c:pt idx="103">
                  <c:v>41760</c:v>
                </c:pt>
                <c:pt idx="104">
                  <c:v>41730</c:v>
                </c:pt>
                <c:pt idx="105">
                  <c:v>41699</c:v>
                </c:pt>
                <c:pt idx="106">
                  <c:v>41671</c:v>
                </c:pt>
                <c:pt idx="107">
                  <c:v>41640</c:v>
                </c:pt>
                <c:pt idx="108">
                  <c:v>41609</c:v>
                </c:pt>
                <c:pt idx="109">
                  <c:v>41579</c:v>
                </c:pt>
                <c:pt idx="110">
                  <c:v>41548</c:v>
                </c:pt>
                <c:pt idx="111">
                  <c:v>41518</c:v>
                </c:pt>
                <c:pt idx="112">
                  <c:v>41487</c:v>
                </c:pt>
                <c:pt idx="113">
                  <c:v>41456</c:v>
                </c:pt>
                <c:pt idx="114">
                  <c:v>41426</c:v>
                </c:pt>
                <c:pt idx="115">
                  <c:v>41395</c:v>
                </c:pt>
                <c:pt idx="116">
                  <c:v>41365</c:v>
                </c:pt>
                <c:pt idx="117">
                  <c:v>41334</c:v>
                </c:pt>
                <c:pt idx="118">
                  <c:v>41306</c:v>
                </c:pt>
                <c:pt idx="119">
                  <c:v>41275</c:v>
                </c:pt>
                <c:pt idx="120">
                  <c:v>41244</c:v>
                </c:pt>
                <c:pt idx="121">
                  <c:v>41214</c:v>
                </c:pt>
                <c:pt idx="122">
                  <c:v>41183</c:v>
                </c:pt>
                <c:pt idx="123">
                  <c:v>41153</c:v>
                </c:pt>
                <c:pt idx="124">
                  <c:v>41122</c:v>
                </c:pt>
                <c:pt idx="125">
                  <c:v>41091</c:v>
                </c:pt>
                <c:pt idx="126">
                  <c:v>41061</c:v>
                </c:pt>
                <c:pt idx="127">
                  <c:v>41030</c:v>
                </c:pt>
                <c:pt idx="128">
                  <c:v>41000</c:v>
                </c:pt>
                <c:pt idx="129">
                  <c:v>40969</c:v>
                </c:pt>
                <c:pt idx="130">
                  <c:v>40940</c:v>
                </c:pt>
                <c:pt idx="131">
                  <c:v>40909</c:v>
                </c:pt>
                <c:pt idx="132">
                  <c:v>40878</c:v>
                </c:pt>
                <c:pt idx="133">
                  <c:v>40848</c:v>
                </c:pt>
                <c:pt idx="134">
                  <c:v>40817</c:v>
                </c:pt>
                <c:pt idx="135">
                  <c:v>40787</c:v>
                </c:pt>
                <c:pt idx="136">
                  <c:v>40756</c:v>
                </c:pt>
                <c:pt idx="137">
                  <c:v>40725</c:v>
                </c:pt>
                <c:pt idx="138">
                  <c:v>40695</c:v>
                </c:pt>
                <c:pt idx="139">
                  <c:v>40664</c:v>
                </c:pt>
                <c:pt idx="140">
                  <c:v>40634</c:v>
                </c:pt>
                <c:pt idx="141">
                  <c:v>40603</c:v>
                </c:pt>
                <c:pt idx="142">
                  <c:v>40575</c:v>
                </c:pt>
                <c:pt idx="143">
                  <c:v>40544</c:v>
                </c:pt>
                <c:pt idx="144">
                  <c:v>40513</c:v>
                </c:pt>
                <c:pt idx="145">
                  <c:v>40483</c:v>
                </c:pt>
                <c:pt idx="146">
                  <c:v>40452</c:v>
                </c:pt>
                <c:pt idx="147">
                  <c:v>40422</c:v>
                </c:pt>
                <c:pt idx="148">
                  <c:v>40391</c:v>
                </c:pt>
                <c:pt idx="149">
                  <c:v>40360</c:v>
                </c:pt>
                <c:pt idx="150">
                  <c:v>40330</c:v>
                </c:pt>
                <c:pt idx="151">
                  <c:v>40299</c:v>
                </c:pt>
                <c:pt idx="152">
                  <c:v>40269</c:v>
                </c:pt>
                <c:pt idx="153">
                  <c:v>40238</c:v>
                </c:pt>
                <c:pt idx="154">
                  <c:v>40210</c:v>
                </c:pt>
                <c:pt idx="155">
                  <c:v>40179</c:v>
                </c:pt>
                <c:pt idx="156">
                  <c:v>40148</c:v>
                </c:pt>
                <c:pt idx="157">
                  <c:v>40118</c:v>
                </c:pt>
                <c:pt idx="158">
                  <c:v>40087</c:v>
                </c:pt>
                <c:pt idx="159">
                  <c:v>40057</c:v>
                </c:pt>
                <c:pt idx="160">
                  <c:v>40026</c:v>
                </c:pt>
                <c:pt idx="161">
                  <c:v>39995</c:v>
                </c:pt>
                <c:pt idx="162">
                  <c:v>39965</c:v>
                </c:pt>
                <c:pt idx="163">
                  <c:v>39934</c:v>
                </c:pt>
                <c:pt idx="164">
                  <c:v>39904</c:v>
                </c:pt>
                <c:pt idx="165">
                  <c:v>39873</c:v>
                </c:pt>
                <c:pt idx="166">
                  <c:v>39845</c:v>
                </c:pt>
                <c:pt idx="167">
                  <c:v>39814</c:v>
                </c:pt>
                <c:pt idx="168">
                  <c:v>39783</c:v>
                </c:pt>
                <c:pt idx="169">
                  <c:v>39753</c:v>
                </c:pt>
                <c:pt idx="170">
                  <c:v>39722</c:v>
                </c:pt>
              </c:numCache>
            </c:numRef>
          </c:xVal>
          <c:yVal>
            <c:numRef>
              <c:f>Coromandel!$N$2:$N$172</c:f>
              <c:numCache>
                <c:formatCode>#,##0.00;\(#,##0.00\)</c:formatCode>
                <c:ptCount val="171"/>
                <c:pt idx="0">
                  <c:v>0.31162572896239793</c:v>
                </c:pt>
                <c:pt idx="1">
                  <c:v>0.22396610078278292</c:v>
                </c:pt>
                <c:pt idx="2">
                  <c:v>0.38686177248538361</c:v>
                </c:pt>
                <c:pt idx="3">
                  <c:v>0.49314753636112352</c:v>
                </c:pt>
                <c:pt idx="4">
                  <c:v>0.35109681171321577</c:v>
                </c:pt>
                <c:pt idx="5">
                  <c:v>-3.4321764355947103E-2</c:v>
                </c:pt>
                <c:pt idx="6">
                  <c:v>-0.43160207227343367</c:v>
                </c:pt>
                <c:pt idx="7">
                  <c:v>-0.40718318506696122</c:v>
                </c:pt>
                <c:pt idx="8">
                  <c:v>2.4387064993388111E-2</c:v>
                </c:pt>
                <c:pt idx="9">
                  <c:v>0.24541023953715238</c:v>
                </c:pt>
                <c:pt idx="10">
                  <c:v>0.18041024346336554</c:v>
                </c:pt>
                <c:pt idx="11">
                  <c:v>-0.32725047820163233</c:v>
                </c:pt>
                <c:pt idx="12">
                  <c:v>-0.33508859375188532</c:v>
                </c:pt>
                <c:pt idx="13">
                  <c:v>-0.29797158243518856</c:v>
                </c:pt>
                <c:pt idx="14">
                  <c:v>0.10547273518180113</c:v>
                </c:pt>
                <c:pt idx="15">
                  <c:v>0.13153150784158874</c:v>
                </c:pt>
                <c:pt idx="16">
                  <c:v>9.396117570820825E-2</c:v>
                </c:pt>
                <c:pt idx="17">
                  <c:v>0.29905570981854795</c:v>
                </c:pt>
                <c:pt idx="18">
                  <c:v>0.31926155422771979</c:v>
                </c:pt>
                <c:pt idx="19">
                  <c:v>0.69592511088797659</c:v>
                </c:pt>
                <c:pt idx="20">
                  <c:v>0.35554468363857639</c:v>
                </c:pt>
                <c:pt idx="21">
                  <c:v>0.3609288885717869</c:v>
                </c:pt>
                <c:pt idx="22">
                  <c:v>0.43776902400486961</c:v>
                </c:pt>
                <c:pt idx="23">
                  <c:v>0.50657782338861856</c:v>
                </c:pt>
                <c:pt idx="24">
                  <c:v>0.48926034732015994</c:v>
                </c:pt>
                <c:pt idx="25">
                  <c:v>0.53052904169035309</c:v>
                </c:pt>
                <c:pt idx="26">
                  <c:v>0.50522671135095631</c:v>
                </c:pt>
                <c:pt idx="27">
                  <c:v>0.55192992045704592</c:v>
                </c:pt>
                <c:pt idx="28">
                  <c:v>0.5508139267681903</c:v>
                </c:pt>
                <c:pt idx="29">
                  <c:v>0.58223790930464003</c:v>
                </c:pt>
                <c:pt idx="30">
                  <c:v>0.70033724973495748</c:v>
                </c:pt>
                <c:pt idx="31">
                  <c:v>0.65503267654323205</c:v>
                </c:pt>
                <c:pt idx="32">
                  <c:v>0.64866872547814447</c:v>
                </c:pt>
                <c:pt idx="33">
                  <c:v>0.71700709467921153</c:v>
                </c:pt>
                <c:pt idx="34">
                  <c:v>1.3879597599699471</c:v>
                </c:pt>
                <c:pt idx="35">
                  <c:v>1.6464243677773713</c:v>
                </c:pt>
                <c:pt idx="36">
                  <c:v>1.7211715256916507</c:v>
                </c:pt>
                <c:pt idx="37">
                  <c:v>1.7293212026884712</c:v>
                </c:pt>
                <c:pt idx="38">
                  <c:v>1.5279036559617727</c:v>
                </c:pt>
                <c:pt idx="39">
                  <c:v>1.0630293710634449</c:v>
                </c:pt>
                <c:pt idx="40">
                  <c:v>0.83466534294684502</c:v>
                </c:pt>
                <c:pt idx="41">
                  <c:v>0.77879124933974975</c:v>
                </c:pt>
                <c:pt idx="42">
                  <c:v>0.72162418805878525</c:v>
                </c:pt>
                <c:pt idx="43">
                  <c:v>0.80133912547213226</c:v>
                </c:pt>
                <c:pt idx="44">
                  <c:v>0.82121497228759344</c:v>
                </c:pt>
                <c:pt idx="45">
                  <c:v>0.48041834950919676</c:v>
                </c:pt>
                <c:pt idx="46">
                  <c:v>0.23097071177910503</c:v>
                </c:pt>
                <c:pt idx="47">
                  <c:v>0.17550590107511571</c:v>
                </c:pt>
                <c:pt idx="48">
                  <c:v>0.15206392121161161</c:v>
                </c:pt>
                <c:pt idx="49">
                  <c:v>0.27697285489897572</c:v>
                </c:pt>
                <c:pt idx="50">
                  <c:v>0.32150363937490201</c:v>
                </c:pt>
                <c:pt idx="51">
                  <c:v>0.83548041741332513</c:v>
                </c:pt>
                <c:pt idx="52">
                  <c:v>1.0353171005064348</c:v>
                </c:pt>
                <c:pt idx="53">
                  <c:v>1.0517966580672649</c:v>
                </c:pt>
                <c:pt idx="54">
                  <c:v>1.0301263325437657</c:v>
                </c:pt>
                <c:pt idx="55">
                  <c:v>0.85161886142205701</c:v>
                </c:pt>
                <c:pt idx="56">
                  <c:v>0.83951575043229776</c:v>
                </c:pt>
                <c:pt idx="57">
                  <c:v>1.6419983569441492</c:v>
                </c:pt>
                <c:pt idx="58">
                  <c:v>1.2421806185567232</c:v>
                </c:pt>
                <c:pt idx="59">
                  <c:v>1.5335278628369495</c:v>
                </c:pt>
                <c:pt idx="60">
                  <c:v>1.3706725696478563</c:v>
                </c:pt>
                <c:pt idx="61">
                  <c:v>0.94157921877701556</c:v>
                </c:pt>
                <c:pt idx="62">
                  <c:v>1.1706541762343852</c:v>
                </c:pt>
                <c:pt idx="63">
                  <c:v>0.86710902395200562</c:v>
                </c:pt>
                <c:pt idx="64">
                  <c:v>0.99260990589261422</c:v>
                </c:pt>
                <c:pt idx="65">
                  <c:v>0.94976496122134857</c:v>
                </c:pt>
                <c:pt idx="66">
                  <c:v>0.64138028434134087</c:v>
                </c:pt>
                <c:pt idx="67">
                  <c:v>0.67861045322753621</c:v>
                </c:pt>
                <c:pt idx="68">
                  <c:v>0.66076311787989717</c:v>
                </c:pt>
                <c:pt idx="69">
                  <c:v>0.64654510279832256</c:v>
                </c:pt>
                <c:pt idx="70">
                  <c:v>0.75126401555874378</c:v>
                </c:pt>
                <c:pt idx="71">
                  <c:v>0.68239780163718522</c:v>
                </c:pt>
                <c:pt idx="72">
                  <c:v>0.92206680769218918</c:v>
                </c:pt>
                <c:pt idx="73">
                  <c:v>0.97589547959071588</c:v>
                </c:pt>
                <c:pt idx="74">
                  <c:v>0.85952317583862714</c:v>
                </c:pt>
                <c:pt idx="75">
                  <c:v>0.88304468643057432</c:v>
                </c:pt>
                <c:pt idx="76">
                  <c:v>0.90099779503698729</c:v>
                </c:pt>
                <c:pt idx="77">
                  <c:v>1.2546662039518068</c:v>
                </c:pt>
                <c:pt idx="78">
                  <c:v>1.3784520566011751</c:v>
                </c:pt>
                <c:pt idx="79">
                  <c:v>1.2759860567770316</c:v>
                </c:pt>
                <c:pt idx="80">
                  <c:v>1.2853696445490734</c:v>
                </c:pt>
                <c:pt idx="81">
                  <c:v>1.2509765519830616</c:v>
                </c:pt>
                <c:pt idx="82">
                  <c:v>1.3865821545225463</c:v>
                </c:pt>
                <c:pt idx="83">
                  <c:v>2.2400560205496136</c:v>
                </c:pt>
                <c:pt idx="84">
                  <c:v>1.4869249008548024</c:v>
                </c:pt>
                <c:pt idx="85">
                  <c:v>1.3735694203869593</c:v>
                </c:pt>
                <c:pt idx="86">
                  <c:v>1.2442614871875157</c:v>
                </c:pt>
                <c:pt idx="87">
                  <c:v>1.2157139977758324</c:v>
                </c:pt>
                <c:pt idx="88">
                  <c:v>1.2051989567663191</c:v>
                </c:pt>
                <c:pt idx="89">
                  <c:v>0.64696950909881445</c:v>
                </c:pt>
                <c:pt idx="90">
                  <c:v>0.74924069888894607</c:v>
                </c:pt>
                <c:pt idx="91">
                  <c:v>0.71643508966484637</c:v>
                </c:pt>
                <c:pt idx="92">
                  <c:v>1.0763080595102246</c:v>
                </c:pt>
                <c:pt idx="93">
                  <c:v>0.81290299321198589</c:v>
                </c:pt>
                <c:pt idx="94">
                  <c:v>0.67019295706363136</c:v>
                </c:pt>
                <c:pt idx="95">
                  <c:v>0.64502033374058121</c:v>
                </c:pt>
                <c:pt idx="96">
                  <c:v>1.3019454068875773</c:v>
                </c:pt>
                <c:pt idx="97">
                  <c:v>1.4378726835234654</c:v>
                </c:pt>
                <c:pt idx="98">
                  <c:v>1.2716170218515221</c:v>
                </c:pt>
                <c:pt idx="99">
                  <c:v>0.80359975928654603</c:v>
                </c:pt>
                <c:pt idx="100">
                  <c:v>1.1339111424136676</c:v>
                </c:pt>
                <c:pt idx="101">
                  <c:v>0.45682070213879195</c:v>
                </c:pt>
                <c:pt idx="102">
                  <c:v>0.53294862526882225</c:v>
                </c:pt>
                <c:pt idx="103">
                  <c:v>0.66992648645621455</c:v>
                </c:pt>
                <c:pt idx="104">
                  <c:v>0.41406676451155333</c:v>
                </c:pt>
                <c:pt idx="105">
                  <c:v>0.42492155664819009</c:v>
                </c:pt>
                <c:pt idx="106">
                  <c:v>0.42328962009059012</c:v>
                </c:pt>
                <c:pt idx="107">
                  <c:v>0.60751720805043707</c:v>
                </c:pt>
                <c:pt idx="108">
                  <c:v>0.32012265686363511</c:v>
                </c:pt>
                <c:pt idx="109">
                  <c:v>0.29789112146101004</c:v>
                </c:pt>
                <c:pt idx="110">
                  <c:v>0.26671269868952119</c:v>
                </c:pt>
                <c:pt idx="111">
                  <c:v>0.59897522877044262</c:v>
                </c:pt>
                <c:pt idx="112">
                  <c:v>-5.6306777075277474E-2</c:v>
                </c:pt>
                <c:pt idx="113">
                  <c:v>0.43701666745842593</c:v>
                </c:pt>
                <c:pt idx="114">
                  <c:v>0.38926682407797236</c:v>
                </c:pt>
                <c:pt idx="115">
                  <c:v>0.39521273425615572</c:v>
                </c:pt>
                <c:pt idx="116">
                  <c:v>0.29088986893374591</c:v>
                </c:pt>
                <c:pt idx="117">
                  <c:v>0.23323073335849887</c:v>
                </c:pt>
                <c:pt idx="118">
                  <c:v>0.14253517102539184</c:v>
                </c:pt>
                <c:pt idx="119">
                  <c:v>-1.3002397335973361E-2</c:v>
                </c:pt>
                <c:pt idx="120">
                  <c:v>-0.14808296672913226</c:v>
                </c:pt>
                <c:pt idx="121">
                  <c:v>-7.1010768629982526E-2</c:v>
                </c:pt>
                <c:pt idx="122">
                  <c:v>0.24373793527317703</c:v>
                </c:pt>
                <c:pt idx="123">
                  <c:v>0.31447709038479887</c:v>
                </c:pt>
                <c:pt idx="124">
                  <c:v>0.40467307268526193</c:v>
                </c:pt>
                <c:pt idx="125">
                  <c:v>0.40144194399408339</c:v>
                </c:pt>
                <c:pt idx="126">
                  <c:v>0.41046037587194778</c:v>
                </c:pt>
                <c:pt idx="127">
                  <c:v>0.4854339920253179</c:v>
                </c:pt>
                <c:pt idx="128">
                  <c:v>0.51703728609297195</c:v>
                </c:pt>
                <c:pt idx="129">
                  <c:v>0.52753576818781744</c:v>
                </c:pt>
                <c:pt idx="130">
                  <c:v>0.63047653058242692</c:v>
                </c:pt>
                <c:pt idx="131">
                  <c:v>0.55045897980934189</c:v>
                </c:pt>
                <c:pt idx="132">
                  <c:v>1.4955816076341093</c:v>
                </c:pt>
                <c:pt idx="133">
                  <c:v>1.5974546299234598</c:v>
                </c:pt>
                <c:pt idx="134">
                  <c:v>1.6491322586175241</c:v>
                </c:pt>
                <c:pt idx="135">
                  <c:v>1.7725115114902554</c:v>
                </c:pt>
                <c:pt idx="136">
                  <c:v>1.6071448178963761</c:v>
                </c:pt>
                <c:pt idx="137">
                  <c:v>1.7388930087526857</c:v>
                </c:pt>
                <c:pt idx="138">
                  <c:v>1.7406673174948428</c:v>
                </c:pt>
                <c:pt idx="139">
                  <c:v>1.7595660686312631</c:v>
                </c:pt>
                <c:pt idx="140">
                  <c:v>1.6111309129621241</c:v>
                </c:pt>
                <c:pt idx="141">
                  <c:v>1.6537531175229532</c:v>
                </c:pt>
                <c:pt idx="142">
                  <c:v>1.854961966718047</c:v>
                </c:pt>
                <c:pt idx="143">
                  <c:v>2.0832300706775935</c:v>
                </c:pt>
                <c:pt idx="144">
                  <c:v>0.98886829217084804</c:v>
                </c:pt>
                <c:pt idx="145">
                  <c:v>0.89440569122445635</c:v>
                </c:pt>
                <c:pt idx="146">
                  <c:v>0.1114434246464744</c:v>
                </c:pt>
                <c:pt idx="147">
                  <c:v>0.29472032135335807</c:v>
                </c:pt>
                <c:pt idx="148">
                  <c:v>0.44578701797752646</c:v>
                </c:pt>
                <c:pt idx="149">
                  <c:v>0.41954144292552831</c:v>
                </c:pt>
                <c:pt idx="150">
                  <c:v>0.17531170558198617</c:v>
                </c:pt>
                <c:pt idx="151">
                  <c:v>0.16185282974286658</c:v>
                </c:pt>
                <c:pt idx="152">
                  <c:v>0.99594318489442046</c:v>
                </c:pt>
                <c:pt idx="153">
                  <c:v>1.1162948866711178</c:v>
                </c:pt>
                <c:pt idx="154">
                  <c:v>1.0815503440466645</c:v>
                </c:pt>
                <c:pt idx="155">
                  <c:v>1.0932763837563098</c:v>
                </c:pt>
                <c:pt idx="156">
                  <c:v>1.1055966511098974</c:v>
                </c:pt>
                <c:pt idx="157">
                  <c:v>1.0803970500910889</c:v>
                </c:pt>
                <c:pt idx="158">
                  <c:v>1.1923009057569129</c:v>
                </c:pt>
                <c:pt idx="159">
                  <c:v>1.0508241575734711</c:v>
                </c:pt>
                <c:pt idx="160">
                  <c:v>1.0520380181949647</c:v>
                </c:pt>
                <c:pt idx="161">
                  <c:v>1.0529111889364335</c:v>
                </c:pt>
                <c:pt idx="162">
                  <c:v>1.0918627359329749</c:v>
                </c:pt>
                <c:pt idx="163">
                  <c:v>1.0494737760435298</c:v>
                </c:pt>
                <c:pt idx="164">
                  <c:v>0.99139520573660944</c:v>
                </c:pt>
                <c:pt idx="165">
                  <c:v>0.84569227517535073</c:v>
                </c:pt>
                <c:pt idx="166">
                  <c:v>0.99229431936033163</c:v>
                </c:pt>
                <c:pt idx="167">
                  <c:v>0.99213715320431439</c:v>
                </c:pt>
                <c:pt idx="168">
                  <c:v>0.93753052530176018</c:v>
                </c:pt>
                <c:pt idx="169">
                  <c:v>1.012736360997825</c:v>
                </c:pt>
                <c:pt idx="170">
                  <c:v>0.99760683980577347</c:v>
                </c:pt>
              </c:numCache>
            </c:numRef>
          </c:yVal>
          <c:smooth val="0"/>
          <c:extLst>
            <c:ext xmlns:c16="http://schemas.microsoft.com/office/drawing/2014/chart" uri="{C3380CC4-5D6E-409C-BE32-E72D297353CC}">
              <c16:uniqueId val="{00000000-28CA-804D-AF53-EB971A91353F}"/>
            </c:ext>
          </c:extLst>
        </c:ser>
        <c:ser>
          <c:idx val="1"/>
          <c:order val="1"/>
          <c:tx>
            <c:v>ß 36 mois</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Coromandel!$A$2:$A$148</c:f>
              <c:numCache>
                <c:formatCode>m/d/yy</c:formatCode>
                <c:ptCount val="147"/>
                <c:pt idx="0">
                  <c:v>44896</c:v>
                </c:pt>
                <c:pt idx="1">
                  <c:v>44866</c:v>
                </c:pt>
                <c:pt idx="2">
                  <c:v>44835</c:v>
                </c:pt>
                <c:pt idx="3">
                  <c:v>44805</c:v>
                </c:pt>
                <c:pt idx="4">
                  <c:v>44774</c:v>
                </c:pt>
                <c:pt idx="5">
                  <c:v>44743</c:v>
                </c:pt>
                <c:pt idx="6">
                  <c:v>44713</c:v>
                </c:pt>
                <c:pt idx="7">
                  <c:v>44682</c:v>
                </c:pt>
                <c:pt idx="8">
                  <c:v>44652</c:v>
                </c:pt>
                <c:pt idx="9">
                  <c:v>44621</c:v>
                </c:pt>
                <c:pt idx="10">
                  <c:v>44593</c:v>
                </c:pt>
                <c:pt idx="11">
                  <c:v>44562</c:v>
                </c:pt>
                <c:pt idx="12">
                  <c:v>44531</c:v>
                </c:pt>
                <c:pt idx="13">
                  <c:v>44501</c:v>
                </c:pt>
                <c:pt idx="14">
                  <c:v>44470</c:v>
                </c:pt>
                <c:pt idx="15">
                  <c:v>44440</c:v>
                </c:pt>
                <c:pt idx="16">
                  <c:v>44409</c:v>
                </c:pt>
                <c:pt idx="17">
                  <c:v>44378</c:v>
                </c:pt>
                <c:pt idx="18">
                  <c:v>44348</c:v>
                </c:pt>
                <c:pt idx="19">
                  <c:v>44317</c:v>
                </c:pt>
                <c:pt idx="20">
                  <c:v>44287</c:v>
                </c:pt>
                <c:pt idx="21">
                  <c:v>44256</c:v>
                </c:pt>
                <c:pt idx="22">
                  <c:v>44228</c:v>
                </c:pt>
                <c:pt idx="23">
                  <c:v>44197</c:v>
                </c:pt>
                <c:pt idx="24">
                  <c:v>44166</c:v>
                </c:pt>
                <c:pt idx="25">
                  <c:v>44136</c:v>
                </c:pt>
                <c:pt idx="26">
                  <c:v>44105</c:v>
                </c:pt>
                <c:pt idx="27">
                  <c:v>44075</c:v>
                </c:pt>
                <c:pt idx="28">
                  <c:v>44044</c:v>
                </c:pt>
                <c:pt idx="29">
                  <c:v>44013</c:v>
                </c:pt>
                <c:pt idx="30">
                  <c:v>43983</c:v>
                </c:pt>
                <c:pt idx="31">
                  <c:v>43952</c:v>
                </c:pt>
                <c:pt idx="32">
                  <c:v>43922</c:v>
                </c:pt>
                <c:pt idx="33">
                  <c:v>43891</c:v>
                </c:pt>
                <c:pt idx="34">
                  <c:v>43862</c:v>
                </c:pt>
                <c:pt idx="35">
                  <c:v>43831</c:v>
                </c:pt>
                <c:pt idx="36">
                  <c:v>43800</c:v>
                </c:pt>
                <c:pt idx="37">
                  <c:v>43770</c:v>
                </c:pt>
                <c:pt idx="38">
                  <c:v>43739</c:v>
                </c:pt>
                <c:pt idx="39">
                  <c:v>43709</c:v>
                </c:pt>
                <c:pt idx="40">
                  <c:v>43678</c:v>
                </c:pt>
                <c:pt idx="41">
                  <c:v>43647</c:v>
                </c:pt>
                <c:pt idx="42">
                  <c:v>43617</c:v>
                </c:pt>
                <c:pt idx="43">
                  <c:v>43586</c:v>
                </c:pt>
                <c:pt idx="44">
                  <c:v>43556</c:v>
                </c:pt>
                <c:pt idx="45">
                  <c:v>43525</c:v>
                </c:pt>
                <c:pt idx="46">
                  <c:v>43497</c:v>
                </c:pt>
                <c:pt idx="47">
                  <c:v>43466</c:v>
                </c:pt>
                <c:pt idx="48">
                  <c:v>43435</c:v>
                </c:pt>
                <c:pt idx="49">
                  <c:v>43405</c:v>
                </c:pt>
                <c:pt idx="50">
                  <c:v>43374</c:v>
                </c:pt>
                <c:pt idx="51">
                  <c:v>43344</c:v>
                </c:pt>
                <c:pt idx="52">
                  <c:v>43313</c:v>
                </c:pt>
                <c:pt idx="53">
                  <c:v>43282</c:v>
                </c:pt>
                <c:pt idx="54">
                  <c:v>43252</c:v>
                </c:pt>
                <c:pt idx="55">
                  <c:v>43221</c:v>
                </c:pt>
                <c:pt idx="56">
                  <c:v>43191</c:v>
                </c:pt>
                <c:pt idx="57">
                  <c:v>43160</c:v>
                </c:pt>
                <c:pt idx="58">
                  <c:v>43132</c:v>
                </c:pt>
                <c:pt idx="59">
                  <c:v>43101</c:v>
                </c:pt>
                <c:pt idx="60">
                  <c:v>43070</c:v>
                </c:pt>
                <c:pt idx="61">
                  <c:v>43040</c:v>
                </c:pt>
                <c:pt idx="62">
                  <c:v>43009</c:v>
                </c:pt>
                <c:pt idx="63">
                  <c:v>42979</c:v>
                </c:pt>
                <c:pt idx="64">
                  <c:v>42948</c:v>
                </c:pt>
                <c:pt idx="65">
                  <c:v>42917</c:v>
                </c:pt>
                <c:pt idx="66">
                  <c:v>42887</c:v>
                </c:pt>
                <c:pt idx="67">
                  <c:v>42856</c:v>
                </c:pt>
                <c:pt idx="68">
                  <c:v>42826</c:v>
                </c:pt>
                <c:pt idx="69">
                  <c:v>42795</c:v>
                </c:pt>
                <c:pt idx="70">
                  <c:v>42767</c:v>
                </c:pt>
                <c:pt idx="71">
                  <c:v>42736</c:v>
                </c:pt>
                <c:pt idx="72">
                  <c:v>42705</c:v>
                </c:pt>
                <c:pt idx="73">
                  <c:v>42675</c:v>
                </c:pt>
                <c:pt idx="74">
                  <c:v>42644</c:v>
                </c:pt>
                <c:pt idx="75">
                  <c:v>42614</c:v>
                </c:pt>
                <c:pt idx="76">
                  <c:v>42583</c:v>
                </c:pt>
                <c:pt idx="77">
                  <c:v>42552</c:v>
                </c:pt>
                <c:pt idx="78">
                  <c:v>42522</c:v>
                </c:pt>
                <c:pt idx="79">
                  <c:v>42491</c:v>
                </c:pt>
                <c:pt idx="80">
                  <c:v>42461</c:v>
                </c:pt>
                <c:pt idx="81">
                  <c:v>42430</c:v>
                </c:pt>
                <c:pt idx="82">
                  <c:v>42401</c:v>
                </c:pt>
                <c:pt idx="83">
                  <c:v>42370</c:v>
                </c:pt>
                <c:pt idx="84">
                  <c:v>42339</c:v>
                </c:pt>
                <c:pt idx="85">
                  <c:v>42309</c:v>
                </c:pt>
                <c:pt idx="86">
                  <c:v>42278</c:v>
                </c:pt>
                <c:pt idx="87">
                  <c:v>42248</c:v>
                </c:pt>
                <c:pt idx="88">
                  <c:v>42217</c:v>
                </c:pt>
                <c:pt idx="89">
                  <c:v>42186</c:v>
                </c:pt>
                <c:pt idx="90">
                  <c:v>42156</c:v>
                </c:pt>
                <c:pt idx="91">
                  <c:v>42125</c:v>
                </c:pt>
                <c:pt idx="92">
                  <c:v>42095</c:v>
                </c:pt>
                <c:pt idx="93">
                  <c:v>42064</c:v>
                </c:pt>
                <c:pt idx="94">
                  <c:v>42036</c:v>
                </c:pt>
                <c:pt idx="95">
                  <c:v>42005</c:v>
                </c:pt>
                <c:pt idx="96">
                  <c:v>41974</c:v>
                </c:pt>
                <c:pt idx="97">
                  <c:v>41944</c:v>
                </c:pt>
                <c:pt idx="98">
                  <c:v>41913</c:v>
                </c:pt>
                <c:pt idx="99">
                  <c:v>41883</c:v>
                </c:pt>
                <c:pt idx="100">
                  <c:v>41852</c:v>
                </c:pt>
                <c:pt idx="101">
                  <c:v>41821</c:v>
                </c:pt>
                <c:pt idx="102">
                  <c:v>41791</c:v>
                </c:pt>
                <c:pt idx="103">
                  <c:v>41760</c:v>
                </c:pt>
                <c:pt idx="104">
                  <c:v>41730</c:v>
                </c:pt>
                <c:pt idx="105">
                  <c:v>41699</c:v>
                </c:pt>
                <c:pt idx="106">
                  <c:v>41671</c:v>
                </c:pt>
                <c:pt idx="107">
                  <c:v>41640</c:v>
                </c:pt>
                <c:pt idx="108">
                  <c:v>41609</c:v>
                </c:pt>
                <c:pt idx="109">
                  <c:v>41579</c:v>
                </c:pt>
                <c:pt idx="110">
                  <c:v>41548</c:v>
                </c:pt>
                <c:pt idx="111">
                  <c:v>41518</c:v>
                </c:pt>
                <c:pt idx="112">
                  <c:v>41487</c:v>
                </c:pt>
                <c:pt idx="113">
                  <c:v>41456</c:v>
                </c:pt>
                <c:pt idx="114">
                  <c:v>41426</c:v>
                </c:pt>
                <c:pt idx="115">
                  <c:v>41395</c:v>
                </c:pt>
                <c:pt idx="116">
                  <c:v>41365</c:v>
                </c:pt>
                <c:pt idx="117">
                  <c:v>41334</c:v>
                </c:pt>
                <c:pt idx="118">
                  <c:v>41306</c:v>
                </c:pt>
                <c:pt idx="119">
                  <c:v>41275</c:v>
                </c:pt>
                <c:pt idx="120">
                  <c:v>41244</c:v>
                </c:pt>
                <c:pt idx="121">
                  <c:v>41214</c:v>
                </c:pt>
                <c:pt idx="122">
                  <c:v>41183</c:v>
                </c:pt>
                <c:pt idx="123">
                  <c:v>41153</c:v>
                </c:pt>
                <c:pt idx="124">
                  <c:v>41122</c:v>
                </c:pt>
                <c:pt idx="125">
                  <c:v>41091</c:v>
                </c:pt>
                <c:pt idx="126">
                  <c:v>41061</c:v>
                </c:pt>
                <c:pt idx="127">
                  <c:v>41030</c:v>
                </c:pt>
                <c:pt idx="128">
                  <c:v>41000</c:v>
                </c:pt>
                <c:pt idx="129">
                  <c:v>40969</c:v>
                </c:pt>
                <c:pt idx="130">
                  <c:v>40940</c:v>
                </c:pt>
                <c:pt idx="131">
                  <c:v>40909</c:v>
                </c:pt>
                <c:pt idx="132">
                  <c:v>40878</c:v>
                </c:pt>
                <c:pt idx="133">
                  <c:v>40848</c:v>
                </c:pt>
                <c:pt idx="134">
                  <c:v>40817</c:v>
                </c:pt>
                <c:pt idx="135">
                  <c:v>40787</c:v>
                </c:pt>
                <c:pt idx="136">
                  <c:v>40756</c:v>
                </c:pt>
                <c:pt idx="137">
                  <c:v>40725</c:v>
                </c:pt>
                <c:pt idx="138">
                  <c:v>40695</c:v>
                </c:pt>
                <c:pt idx="139">
                  <c:v>40664</c:v>
                </c:pt>
                <c:pt idx="140">
                  <c:v>40634</c:v>
                </c:pt>
                <c:pt idx="141">
                  <c:v>40603</c:v>
                </c:pt>
                <c:pt idx="142">
                  <c:v>40575</c:v>
                </c:pt>
                <c:pt idx="143">
                  <c:v>40544</c:v>
                </c:pt>
                <c:pt idx="144">
                  <c:v>40513</c:v>
                </c:pt>
                <c:pt idx="145">
                  <c:v>40483</c:v>
                </c:pt>
                <c:pt idx="146">
                  <c:v>40452</c:v>
                </c:pt>
              </c:numCache>
            </c:numRef>
          </c:xVal>
          <c:yVal>
            <c:numRef>
              <c:f>Coromandel!$V$2:$V$148</c:f>
              <c:numCache>
                <c:formatCode>#,##0.00;\(#,##0.00\)</c:formatCode>
                <c:ptCount val="147"/>
                <c:pt idx="0">
                  <c:v>0.40510610572004929</c:v>
                </c:pt>
                <c:pt idx="1">
                  <c:v>0.38323743759271311</c:v>
                </c:pt>
                <c:pt idx="2">
                  <c:v>0.39101833735817587</c:v>
                </c:pt>
                <c:pt idx="3">
                  <c:v>0.41822758188011872</c:v>
                </c:pt>
                <c:pt idx="4">
                  <c:v>0.40381572059896387</c:v>
                </c:pt>
                <c:pt idx="5">
                  <c:v>0.40501066932285262</c:v>
                </c:pt>
                <c:pt idx="6">
                  <c:v>0.4486276032044037</c:v>
                </c:pt>
                <c:pt idx="7">
                  <c:v>0.46511595560417301</c:v>
                </c:pt>
                <c:pt idx="8">
                  <c:v>0.48811306834848711</c:v>
                </c:pt>
                <c:pt idx="9">
                  <c:v>0.51845300428753793</c:v>
                </c:pt>
                <c:pt idx="10">
                  <c:v>0.54947064470970419</c:v>
                </c:pt>
                <c:pt idx="11">
                  <c:v>0.54858796576274216</c:v>
                </c:pt>
                <c:pt idx="12">
                  <c:v>0.55440538993114075</c:v>
                </c:pt>
                <c:pt idx="13">
                  <c:v>0.54964851122905223</c:v>
                </c:pt>
                <c:pt idx="14">
                  <c:v>0.52154497170899972</c:v>
                </c:pt>
                <c:pt idx="15">
                  <c:v>0.49522286652103492</c:v>
                </c:pt>
                <c:pt idx="16">
                  <c:v>0.51498940145311867</c:v>
                </c:pt>
                <c:pt idx="17">
                  <c:v>0.57105176145697256</c:v>
                </c:pt>
                <c:pt idx="18">
                  <c:v>0.57907907106235224</c:v>
                </c:pt>
                <c:pt idx="19">
                  <c:v>0.60086429231677163</c:v>
                </c:pt>
                <c:pt idx="20">
                  <c:v>0.59841986982719975</c:v>
                </c:pt>
                <c:pt idx="21">
                  <c:v>0.54647957296016803</c:v>
                </c:pt>
                <c:pt idx="22">
                  <c:v>0.56140886236046672</c:v>
                </c:pt>
                <c:pt idx="23">
                  <c:v>0.61574783572430891</c:v>
                </c:pt>
                <c:pt idx="24">
                  <c:v>0.61528100903844285</c:v>
                </c:pt>
                <c:pt idx="25">
                  <c:v>0.66244817669943212</c:v>
                </c:pt>
                <c:pt idx="26">
                  <c:v>0.6304859299507154</c:v>
                </c:pt>
                <c:pt idx="27">
                  <c:v>0.70018825588582867</c:v>
                </c:pt>
                <c:pt idx="28">
                  <c:v>0.70387561580398594</c:v>
                </c:pt>
                <c:pt idx="29">
                  <c:v>0.71912310778254596</c:v>
                </c:pt>
                <c:pt idx="30">
                  <c:v>0.73964242251752532</c:v>
                </c:pt>
                <c:pt idx="31">
                  <c:v>0.68633138605556931</c:v>
                </c:pt>
                <c:pt idx="32">
                  <c:v>0.72004992503336951</c:v>
                </c:pt>
                <c:pt idx="33">
                  <c:v>0.7855527823447862</c:v>
                </c:pt>
                <c:pt idx="34">
                  <c:v>0.99294007255535555</c:v>
                </c:pt>
                <c:pt idx="35">
                  <c:v>1.0241851486643676</c:v>
                </c:pt>
                <c:pt idx="36">
                  <c:v>1.0596783533013232</c:v>
                </c:pt>
                <c:pt idx="37">
                  <c:v>1.0147945976123132</c:v>
                </c:pt>
                <c:pt idx="38">
                  <c:v>1.0486228380052889</c:v>
                </c:pt>
                <c:pt idx="39">
                  <c:v>1.0116044798165642</c:v>
                </c:pt>
                <c:pt idx="40">
                  <c:v>1.0192324866013702</c:v>
                </c:pt>
                <c:pt idx="41">
                  <c:v>1.0373905060576161</c:v>
                </c:pt>
                <c:pt idx="42">
                  <c:v>0.89098808135103646</c:v>
                </c:pt>
                <c:pt idx="43">
                  <c:v>0.90410479389539677</c:v>
                </c:pt>
                <c:pt idx="44">
                  <c:v>0.90107374739683621</c:v>
                </c:pt>
                <c:pt idx="45">
                  <c:v>0.89119765036763543</c:v>
                </c:pt>
                <c:pt idx="46">
                  <c:v>0.84747418793409923</c:v>
                </c:pt>
                <c:pt idx="47">
                  <c:v>0.76287583782647528</c:v>
                </c:pt>
                <c:pt idx="48">
                  <c:v>0.84007540901457767</c:v>
                </c:pt>
                <c:pt idx="49">
                  <c:v>0.84614519254793219</c:v>
                </c:pt>
                <c:pt idx="50">
                  <c:v>0.87512517544366952</c:v>
                </c:pt>
                <c:pt idx="51">
                  <c:v>0.94559180310103674</c:v>
                </c:pt>
                <c:pt idx="52">
                  <c:v>1.0195180060423294</c:v>
                </c:pt>
                <c:pt idx="53">
                  <c:v>1.239140378906022</c:v>
                </c:pt>
                <c:pt idx="54">
                  <c:v>1.212975038898352</c:v>
                </c:pt>
                <c:pt idx="55">
                  <c:v>1.1452035803946286</c:v>
                </c:pt>
                <c:pt idx="56">
                  <c:v>1.1243673367519955</c:v>
                </c:pt>
                <c:pt idx="57">
                  <c:v>1.3908854558344286</c:v>
                </c:pt>
                <c:pt idx="58">
                  <c:v>1.4006585471330055</c:v>
                </c:pt>
                <c:pt idx="59">
                  <c:v>1.4622681993531841</c:v>
                </c:pt>
                <c:pt idx="60">
                  <c:v>1.3224350797067201</c:v>
                </c:pt>
                <c:pt idx="61">
                  <c:v>1.2855765290103682</c:v>
                </c:pt>
                <c:pt idx="62">
                  <c:v>1.2355328612813803</c:v>
                </c:pt>
                <c:pt idx="63">
                  <c:v>1.144557225775219</c:v>
                </c:pt>
                <c:pt idx="64">
                  <c:v>1.1333151816635256</c:v>
                </c:pt>
                <c:pt idx="65">
                  <c:v>1.152490602031415</c:v>
                </c:pt>
                <c:pt idx="66">
                  <c:v>1.1633747607834348</c:v>
                </c:pt>
                <c:pt idx="67">
                  <c:v>1.0917311318680563</c:v>
                </c:pt>
                <c:pt idx="68">
                  <c:v>1.1413600803031976</c:v>
                </c:pt>
                <c:pt idx="69">
                  <c:v>1.1259113357466317</c:v>
                </c:pt>
                <c:pt idx="70">
                  <c:v>1.1490299662871126</c:v>
                </c:pt>
                <c:pt idx="71">
                  <c:v>1.1458685214025441</c:v>
                </c:pt>
                <c:pt idx="72">
                  <c:v>1.227258428894425</c:v>
                </c:pt>
                <c:pt idx="73">
                  <c:v>1.2670737572149604</c:v>
                </c:pt>
                <c:pt idx="74">
                  <c:v>1.2400946073335433</c:v>
                </c:pt>
                <c:pt idx="75">
                  <c:v>1.0678946977863013</c:v>
                </c:pt>
                <c:pt idx="76">
                  <c:v>1.1149970945706735</c:v>
                </c:pt>
                <c:pt idx="77">
                  <c:v>0.90778035220311248</c:v>
                </c:pt>
                <c:pt idx="78">
                  <c:v>0.98513645803703953</c:v>
                </c:pt>
                <c:pt idx="79">
                  <c:v>0.96863354696252002</c:v>
                </c:pt>
                <c:pt idx="80">
                  <c:v>0.970128287694067</c:v>
                </c:pt>
                <c:pt idx="81">
                  <c:v>0.95236294319155568</c:v>
                </c:pt>
                <c:pt idx="82">
                  <c:v>0.95041851148736012</c:v>
                </c:pt>
                <c:pt idx="83">
                  <c:v>1.1030827882509355</c:v>
                </c:pt>
                <c:pt idx="84">
                  <c:v>1.0663839735595437</c:v>
                </c:pt>
                <c:pt idx="85">
                  <c:v>1.0606681052616089</c:v>
                </c:pt>
                <c:pt idx="86">
                  <c:v>1.0372100731308274</c:v>
                </c:pt>
                <c:pt idx="87">
                  <c:v>1.0161459413323342</c:v>
                </c:pt>
                <c:pt idx="88">
                  <c:v>0.87065762910207833</c:v>
                </c:pt>
                <c:pt idx="89">
                  <c:v>0.63892560709040602</c:v>
                </c:pt>
                <c:pt idx="90">
                  <c:v>0.65955671258522564</c:v>
                </c:pt>
                <c:pt idx="91">
                  <c:v>0.65338895062323987</c:v>
                </c:pt>
                <c:pt idx="92">
                  <c:v>0.61170697565869214</c:v>
                </c:pt>
                <c:pt idx="93">
                  <c:v>0.56055716822694923</c:v>
                </c:pt>
                <c:pt idx="94">
                  <c:v>0.50074807781237007</c:v>
                </c:pt>
                <c:pt idx="95">
                  <c:v>0.50669821144109639</c:v>
                </c:pt>
                <c:pt idx="96">
                  <c:v>0.40373294190187226</c:v>
                </c:pt>
                <c:pt idx="97">
                  <c:v>0.41497914723449714</c:v>
                </c:pt>
                <c:pt idx="98">
                  <c:v>0.54801613631964929</c:v>
                </c:pt>
                <c:pt idx="99">
                  <c:v>0.55878164883161696</c:v>
                </c:pt>
                <c:pt idx="100">
                  <c:v>0.57091807457716015</c:v>
                </c:pt>
                <c:pt idx="101">
                  <c:v>0.54910869624738345</c:v>
                </c:pt>
                <c:pt idx="102">
                  <c:v>0.55887989734693533</c:v>
                </c:pt>
                <c:pt idx="103">
                  <c:v>0.58069587031269687</c:v>
                </c:pt>
                <c:pt idx="104">
                  <c:v>0.47197312338984077</c:v>
                </c:pt>
                <c:pt idx="105">
                  <c:v>0.46314037578693207</c:v>
                </c:pt>
                <c:pt idx="106">
                  <c:v>0.49778458200702985</c:v>
                </c:pt>
                <c:pt idx="107">
                  <c:v>0.43853393592416734</c:v>
                </c:pt>
                <c:pt idx="108">
                  <c:v>0.59896737578376746</c:v>
                </c:pt>
                <c:pt idx="109">
                  <c:v>0.6415715871075246</c:v>
                </c:pt>
                <c:pt idx="110">
                  <c:v>0.69354941533136882</c:v>
                </c:pt>
                <c:pt idx="111">
                  <c:v>0.79762519869395887</c:v>
                </c:pt>
                <c:pt idx="112">
                  <c:v>0.79084777980710808</c:v>
                </c:pt>
                <c:pt idx="113">
                  <c:v>0.88469579687749644</c:v>
                </c:pt>
                <c:pt idx="114">
                  <c:v>0.89419572557082705</c:v>
                </c:pt>
                <c:pt idx="115">
                  <c:v>0.93620787179716336</c:v>
                </c:pt>
                <c:pt idx="116">
                  <c:v>0.88609842491481194</c:v>
                </c:pt>
                <c:pt idx="117">
                  <c:v>0.90341308735641823</c:v>
                </c:pt>
                <c:pt idx="118">
                  <c:v>0.94215059984660454</c:v>
                </c:pt>
                <c:pt idx="119">
                  <c:v>0.91234256735035013</c:v>
                </c:pt>
                <c:pt idx="120">
                  <c:v>0.8220110301459681</c:v>
                </c:pt>
                <c:pt idx="121">
                  <c:v>0.83356972296410747</c:v>
                </c:pt>
                <c:pt idx="122">
                  <c:v>0.84508345483113945</c:v>
                </c:pt>
                <c:pt idx="123">
                  <c:v>0.81539570487136059</c:v>
                </c:pt>
                <c:pt idx="124">
                  <c:v>0.99038425473833736</c:v>
                </c:pt>
                <c:pt idx="125">
                  <c:v>0.98224886397094036</c:v>
                </c:pt>
                <c:pt idx="126">
                  <c:v>0.90144587900473239</c:v>
                </c:pt>
                <c:pt idx="127">
                  <c:v>0.94589770694781294</c:v>
                </c:pt>
                <c:pt idx="128">
                  <c:v>1.1277635268486965</c:v>
                </c:pt>
                <c:pt idx="129">
                  <c:v>1.1901143339295841</c:v>
                </c:pt>
                <c:pt idx="130">
                  <c:v>1.1449434640438811</c:v>
                </c:pt>
                <c:pt idx="131">
                  <c:v>1.1623475650669355</c:v>
                </c:pt>
                <c:pt idx="132">
                  <c:v>1.2229011139555828</c:v>
                </c:pt>
                <c:pt idx="133">
                  <c:v>1.1748374771276435</c:v>
                </c:pt>
                <c:pt idx="134">
                  <c:v>1.2070469463483193</c:v>
                </c:pt>
                <c:pt idx="135">
                  <c:v>1.1178671826243951</c:v>
                </c:pt>
                <c:pt idx="136">
                  <c:v>1.1463854941806699</c:v>
                </c:pt>
                <c:pt idx="137">
                  <c:v>1.147056602183179</c:v>
                </c:pt>
                <c:pt idx="138">
                  <c:v>1.1518432586807317</c:v>
                </c:pt>
                <c:pt idx="139">
                  <c:v>1.1118354862645903</c:v>
                </c:pt>
                <c:pt idx="140">
                  <c:v>1.1144655823806899</c:v>
                </c:pt>
                <c:pt idx="141">
                  <c:v>1.1128282921371944</c:v>
                </c:pt>
                <c:pt idx="142">
                  <c:v>1.1153419941336116</c:v>
                </c:pt>
                <c:pt idx="143">
                  <c:v>1.1270991861550481</c:v>
                </c:pt>
                <c:pt idx="144">
                  <c:v>1.0364569622569819</c:v>
                </c:pt>
                <c:pt idx="145">
                  <c:v>1.0179716986617418</c:v>
                </c:pt>
                <c:pt idx="146">
                  <c:v>1.0001343621652592</c:v>
                </c:pt>
              </c:numCache>
            </c:numRef>
          </c:yVal>
          <c:smooth val="0"/>
          <c:extLst>
            <c:ext xmlns:c16="http://schemas.microsoft.com/office/drawing/2014/chart" uri="{C3380CC4-5D6E-409C-BE32-E72D297353CC}">
              <c16:uniqueId val="{00000001-28CA-804D-AF53-EB971A91353F}"/>
            </c:ext>
          </c:extLst>
        </c:ser>
        <c:dLbls>
          <c:showLegendKey val="0"/>
          <c:showVal val="0"/>
          <c:showCatName val="0"/>
          <c:showSerName val="0"/>
          <c:showPercent val="0"/>
          <c:showBubbleSize val="0"/>
        </c:dLbls>
        <c:axId val="810876607"/>
        <c:axId val="354975503"/>
      </c:scatterChart>
      <c:valAx>
        <c:axId val="810876607"/>
        <c:scaling>
          <c:orientation val="minMax"/>
          <c:max val="44896"/>
          <c:min val="39722"/>
        </c:scaling>
        <c:delete val="0"/>
        <c:axPos val="b"/>
        <c:majorGridlines>
          <c:spPr>
            <a:ln w="9525" cap="flat" cmpd="sng" algn="ctr">
              <a:solidFill>
                <a:schemeClr val="tx1">
                  <a:lumMod val="15000"/>
                  <a:lumOff val="85000"/>
                </a:schemeClr>
              </a:solidFill>
              <a:round/>
            </a:ln>
            <a:effectLst/>
          </c:spPr>
        </c:majorGridlines>
        <c:numFmt formatCode="yy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fr-FR"/>
          </a:p>
        </c:txPr>
        <c:crossAx val="354975503"/>
        <c:crosses val="autoZero"/>
        <c:crossBetween val="midCat"/>
        <c:majorUnit val="730"/>
      </c:valAx>
      <c:valAx>
        <c:axId val="354975503"/>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fr-FR"/>
          </a:p>
        </c:txPr>
        <c:crossAx val="810876607"/>
        <c:crosses val="autoZero"/>
        <c:crossBetween val="midCat"/>
      </c:valAx>
      <c:spPr>
        <a:noFill/>
        <a:ln>
          <a:noFill/>
        </a:ln>
        <a:effectLst/>
      </c:spPr>
    </c:plotArea>
    <c:legend>
      <c:legendPos val="t"/>
      <c:overlay val="0"/>
      <c:spPr>
        <a:noFill/>
        <a:ln w="19050">
          <a:solidFill>
            <a:schemeClr val="accent1"/>
          </a:solid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Volume (unités)</a:t>
            </a:r>
          </a:p>
        </c:rich>
      </c:tx>
      <c:overlay val="0"/>
      <c:spPr>
        <a:noFill/>
        <a:ln w="15875">
          <a:solidFill>
            <a:schemeClr val="accent1"/>
          </a:solid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v>Volume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'Business plan'!$B$7:$L$7</c:f>
              <c:numCache>
                <c:formatCode>#,##0</c:formatCode>
                <c:ptCount val="11"/>
                <c:pt idx="0">
                  <c:v>0</c:v>
                </c:pt>
                <c:pt idx="1">
                  <c:v>1</c:v>
                </c:pt>
                <c:pt idx="2">
                  <c:v>2</c:v>
                </c:pt>
                <c:pt idx="3">
                  <c:v>3</c:v>
                </c:pt>
                <c:pt idx="4">
                  <c:v>4</c:v>
                </c:pt>
                <c:pt idx="5">
                  <c:v>5</c:v>
                </c:pt>
                <c:pt idx="6">
                  <c:v>6</c:v>
                </c:pt>
                <c:pt idx="7">
                  <c:v>7</c:v>
                </c:pt>
                <c:pt idx="8">
                  <c:v>8</c:v>
                </c:pt>
                <c:pt idx="9">
                  <c:v>9</c:v>
                </c:pt>
                <c:pt idx="10">
                  <c:v>10</c:v>
                </c:pt>
              </c:numCache>
            </c:numRef>
          </c:xVal>
          <c:yVal>
            <c:numRef>
              <c:f>'Business plan'!$B$8:$L$8</c:f>
              <c:numCache>
                <c:formatCode>#,##0</c:formatCode>
                <c:ptCount val="11"/>
                <c:pt idx="0">
                  <c:v>0</c:v>
                </c:pt>
                <c:pt idx="1">
                  <c:v>200</c:v>
                </c:pt>
                <c:pt idx="2">
                  <c:v>500</c:v>
                </c:pt>
                <c:pt idx="3">
                  <c:v>800</c:v>
                </c:pt>
                <c:pt idx="4">
                  <c:v>1000</c:v>
                </c:pt>
                <c:pt idx="5">
                  <c:v>1000</c:v>
                </c:pt>
                <c:pt idx="6">
                  <c:v>1000</c:v>
                </c:pt>
                <c:pt idx="7">
                  <c:v>1000</c:v>
                </c:pt>
                <c:pt idx="8">
                  <c:v>1000</c:v>
                </c:pt>
                <c:pt idx="9">
                  <c:v>1000</c:v>
                </c:pt>
                <c:pt idx="10">
                  <c:v>1000</c:v>
                </c:pt>
              </c:numCache>
            </c:numRef>
          </c:yVal>
          <c:smooth val="0"/>
          <c:extLst>
            <c:ext xmlns:c16="http://schemas.microsoft.com/office/drawing/2014/chart" uri="{C3380CC4-5D6E-409C-BE32-E72D297353CC}">
              <c16:uniqueId val="{00000000-D0EB-6D45-9B1C-CA58F133DA2B}"/>
            </c:ext>
          </c:extLst>
        </c:ser>
        <c:dLbls>
          <c:showLegendKey val="0"/>
          <c:showVal val="0"/>
          <c:showCatName val="0"/>
          <c:showSerName val="0"/>
          <c:showPercent val="0"/>
          <c:showBubbleSize val="0"/>
        </c:dLbls>
        <c:axId val="1353160111"/>
        <c:axId val="1342952335"/>
      </c:scatterChart>
      <c:valAx>
        <c:axId val="135316011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342952335"/>
        <c:crosses val="autoZero"/>
        <c:crossBetween val="midCat"/>
      </c:valAx>
      <c:valAx>
        <c:axId val="13429523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3531601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sz="1400" b="0" i="0" u="none" strike="noStrike" kern="1200" spc="0" baseline="0" dirty="0">
                <a:solidFill>
                  <a:sysClr val="windowText" lastClr="000000">
                    <a:lumMod val="65000"/>
                    <a:lumOff val="35000"/>
                  </a:sysClr>
                </a:solidFill>
              </a:rPr>
              <a:t>É</a:t>
            </a:r>
            <a:r>
              <a:rPr lang="fr-FR"/>
              <a:t>volution du ROCE</a:t>
            </a:r>
          </a:p>
        </c:rich>
      </c:tx>
      <c:overlay val="0"/>
      <c:spPr>
        <a:noFill/>
        <a:ln>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yVal>
            <c:numRef>
              <c:f>'Business plan'!$C$111:$L$111</c:f>
              <c:numCache>
                <c:formatCode>0.0%;\(0.0%\)</c:formatCode>
                <c:ptCount val="10"/>
                <c:pt idx="0">
                  <c:v>-0.25371102472669788</c:v>
                </c:pt>
                <c:pt idx="1">
                  <c:v>4.9026917925401488E-2</c:v>
                </c:pt>
                <c:pt idx="2">
                  <c:v>0.30819318091986198</c:v>
                </c:pt>
                <c:pt idx="3">
                  <c:v>0.50092406001914025</c:v>
                </c:pt>
                <c:pt idx="4">
                  <c:v>0.55083259926165218</c:v>
                </c:pt>
                <c:pt idx="5">
                  <c:v>0.60463211204643974</c:v>
                </c:pt>
                <c:pt idx="6">
                  <c:v>0.66233808953851403</c:v>
                </c:pt>
                <c:pt idx="7">
                  <c:v>0.72388033045540867</c:v>
                </c:pt>
                <c:pt idx="8">
                  <c:v>0.78908446758052475</c:v>
                </c:pt>
                <c:pt idx="9">
                  <c:v>0.84981806564003537</c:v>
                </c:pt>
              </c:numCache>
            </c:numRef>
          </c:yVal>
          <c:smooth val="0"/>
          <c:extLst>
            <c:ext xmlns:c16="http://schemas.microsoft.com/office/drawing/2014/chart" uri="{C3380CC4-5D6E-409C-BE32-E72D297353CC}">
              <c16:uniqueId val="{00000000-ABB6-1E40-8844-C51C738D2B9B}"/>
            </c:ext>
          </c:extLst>
        </c:ser>
        <c:dLbls>
          <c:showLegendKey val="0"/>
          <c:showVal val="0"/>
          <c:showCatName val="0"/>
          <c:showSerName val="0"/>
          <c:showPercent val="0"/>
          <c:showBubbleSize val="0"/>
        </c:dLbls>
        <c:axId val="229760671"/>
        <c:axId val="229762399"/>
      </c:scatterChart>
      <c:valAx>
        <c:axId val="229760671"/>
        <c:scaling>
          <c:orientation val="minMax"/>
          <c:max val="10"/>
          <c:min val="1"/>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9762399"/>
        <c:crosses val="autoZero"/>
        <c:crossBetween val="midCat"/>
      </c:valAx>
      <c:valAx>
        <c:axId val="2297623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976067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Apports</a:t>
            </a:r>
            <a:r>
              <a:rPr lang="fr-FR" baseline="0"/>
              <a:t> (retours)</a:t>
            </a:r>
            <a:r>
              <a:rPr lang="fr-FR"/>
              <a:t> de fonds - actionnaires en INR </a:t>
            </a:r>
          </a:p>
        </c:rich>
      </c:tx>
      <c:overlay val="0"/>
      <c:spPr>
        <a:noFill/>
        <a:ln>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v>FF</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'Business plan'!$B$40:$L$40</c:f>
              <c:numCache>
                <c:formatCode>#,##0</c:formatCode>
                <c:ptCount val="11"/>
                <c:pt idx="0">
                  <c:v>0</c:v>
                </c:pt>
                <c:pt idx="1">
                  <c:v>1</c:v>
                </c:pt>
                <c:pt idx="2">
                  <c:v>2</c:v>
                </c:pt>
                <c:pt idx="3">
                  <c:v>3</c:v>
                </c:pt>
                <c:pt idx="4">
                  <c:v>4</c:v>
                </c:pt>
                <c:pt idx="5">
                  <c:v>5</c:v>
                </c:pt>
                <c:pt idx="6">
                  <c:v>6</c:v>
                </c:pt>
                <c:pt idx="7">
                  <c:v>7</c:v>
                </c:pt>
                <c:pt idx="8">
                  <c:v>8</c:v>
                </c:pt>
                <c:pt idx="9">
                  <c:v>9</c:v>
                </c:pt>
                <c:pt idx="10">
                  <c:v>10</c:v>
                </c:pt>
              </c:numCache>
            </c:numRef>
          </c:xVal>
          <c:yVal>
            <c:numRef>
              <c:f>'Business plan'!$B$70:$L$70</c:f>
              <c:numCache>
                <c:formatCode>#,##0;\(#,##0\)</c:formatCode>
                <c:ptCount val="11"/>
                <c:pt idx="0">
                  <c:v>20864.316239316242</c:v>
                </c:pt>
                <c:pt idx="1">
                  <c:v>13761.426068376073</c:v>
                </c:pt>
                <c:pt idx="2">
                  <c:v>2447.2641743589702</c:v>
                </c:pt>
                <c:pt idx="3">
                  <c:v>-7334.4595813497399</c:v>
                </c:pt>
                <c:pt idx="4">
                  <c:v>-14215.900672442262</c:v>
                </c:pt>
                <c:pt idx="5">
                  <c:v>-15088.6147127888</c:v>
                </c:pt>
                <c:pt idx="6">
                  <c:v>-16012.011595556116</c:v>
                </c:pt>
                <c:pt idx="7">
                  <c:v>-16989.132291289498</c:v>
                </c:pt>
                <c:pt idx="8">
                  <c:v>-18023.200228766866</c:v>
                </c:pt>
                <c:pt idx="9">
                  <c:v>-19117.632242492873</c:v>
                </c:pt>
                <c:pt idx="10">
                  <c:v>-47973.346570945956</c:v>
                </c:pt>
              </c:numCache>
            </c:numRef>
          </c:yVal>
          <c:smooth val="0"/>
          <c:extLst>
            <c:ext xmlns:c16="http://schemas.microsoft.com/office/drawing/2014/chart" uri="{C3380CC4-5D6E-409C-BE32-E72D297353CC}">
              <c16:uniqueId val="{00000000-77E0-8D45-B0E0-B3A0D02B1496}"/>
            </c:ext>
          </c:extLst>
        </c:ser>
        <c:dLbls>
          <c:showLegendKey val="0"/>
          <c:showVal val="0"/>
          <c:showCatName val="0"/>
          <c:showSerName val="0"/>
          <c:showPercent val="0"/>
          <c:showBubbleSize val="0"/>
        </c:dLbls>
        <c:axId val="2048588064"/>
        <c:axId val="2047909568"/>
      </c:scatterChart>
      <c:valAx>
        <c:axId val="2048588064"/>
        <c:scaling>
          <c:orientation val="minMax"/>
          <c:max val="10"/>
          <c:min val="0"/>
        </c:scaling>
        <c:delete val="0"/>
        <c:axPos val="b"/>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7909568"/>
        <c:crosses val="autoZero"/>
        <c:crossBetween val="midCat"/>
      </c:valAx>
      <c:valAx>
        <c:axId val="2047909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858806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solidFill>
                  <a:schemeClr val="accent1"/>
                </a:solidFill>
              </a:rPr>
              <a:t>ROCE</a:t>
            </a:r>
            <a:r>
              <a:rPr lang="fr-FR"/>
              <a:t> = </a:t>
            </a:r>
            <a:r>
              <a:rPr lang="fr-FR">
                <a:solidFill>
                  <a:schemeClr val="accent2"/>
                </a:solidFill>
              </a:rPr>
              <a:t>ROS</a:t>
            </a:r>
            <a:r>
              <a:rPr lang="fr-FR"/>
              <a:t> * </a:t>
            </a:r>
            <a:r>
              <a:rPr lang="fr-FR">
                <a:solidFill>
                  <a:srgbClr val="00B050"/>
                </a:solidFill>
              </a:rPr>
              <a:t>ATO</a:t>
            </a:r>
          </a:p>
        </c:rich>
      </c:tx>
      <c:overlay val="0"/>
      <c:spPr>
        <a:noFill/>
        <a:ln>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v>ROCE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'Business plan'!$C$118:$L$118</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'Business plan'!$C$111:$L$111</c:f>
              <c:numCache>
                <c:formatCode>0.0%;\(0.0%\)</c:formatCode>
                <c:ptCount val="10"/>
                <c:pt idx="0">
                  <c:v>-0.25371102472669788</c:v>
                </c:pt>
                <c:pt idx="1">
                  <c:v>4.9026917925401488E-2</c:v>
                </c:pt>
                <c:pt idx="2">
                  <c:v>0.30819318091986198</c:v>
                </c:pt>
                <c:pt idx="3">
                  <c:v>0.50092406001914025</c:v>
                </c:pt>
                <c:pt idx="4">
                  <c:v>0.55083259926165218</c:v>
                </c:pt>
                <c:pt idx="5">
                  <c:v>0.60463211204643974</c:v>
                </c:pt>
                <c:pt idx="6">
                  <c:v>0.66233808953851403</c:v>
                </c:pt>
                <c:pt idx="7">
                  <c:v>0.72388033045540867</c:v>
                </c:pt>
                <c:pt idx="8">
                  <c:v>0.78908446758052475</c:v>
                </c:pt>
                <c:pt idx="9">
                  <c:v>0.84981806564003537</c:v>
                </c:pt>
              </c:numCache>
            </c:numRef>
          </c:yVal>
          <c:smooth val="0"/>
          <c:extLst>
            <c:ext xmlns:c16="http://schemas.microsoft.com/office/drawing/2014/chart" uri="{C3380CC4-5D6E-409C-BE32-E72D297353CC}">
              <c16:uniqueId val="{00000000-EB4A-CB43-A341-D8C0AB465530}"/>
            </c:ext>
          </c:extLst>
        </c:ser>
        <c:ser>
          <c:idx val="1"/>
          <c:order val="1"/>
          <c:tx>
            <c:v>ROS</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'Business plan'!$C$118:$L$118</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'Business plan'!$C$108:$L$108</c:f>
              <c:numCache>
                <c:formatCode>0.0%;\(0.0%\)</c:formatCode>
                <c:ptCount val="10"/>
                <c:pt idx="0">
                  <c:v>-0.66020989170481192</c:v>
                </c:pt>
                <c:pt idx="1">
                  <c:v>5.7914543489755076E-2</c:v>
                </c:pt>
                <c:pt idx="2">
                  <c:v>0.23726400388581761</c:v>
                </c:pt>
                <c:pt idx="3">
                  <c:v>0.29771739045083484</c:v>
                </c:pt>
                <c:pt idx="4">
                  <c:v>0.29987294287256383</c:v>
                </c:pt>
                <c:pt idx="5">
                  <c:v>0.30190648289306282</c:v>
                </c:pt>
                <c:pt idx="6">
                  <c:v>0.30382491687466578</c:v>
                </c:pt>
                <c:pt idx="7">
                  <c:v>0.30563476025353653</c:v>
                </c:pt>
                <c:pt idx="8">
                  <c:v>0.3073421596675654</c:v>
                </c:pt>
                <c:pt idx="9">
                  <c:v>0.30895291383174361</c:v>
                </c:pt>
              </c:numCache>
            </c:numRef>
          </c:yVal>
          <c:smooth val="0"/>
          <c:extLst>
            <c:ext xmlns:c16="http://schemas.microsoft.com/office/drawing/2014/chart" uri="{C3380CC4-5D6E-409C-BE32-E72D297353CC}">
              <c16:uniqueId val="{00000001-EB4A-CB43-A341-D8C0AB465530}"/>
            </c:ext>
          </c:extLst>
        </c:ser>
        <c:dLbls>
          <c:showLegendKey val="0"/>
          <c:showVal val="0"/>
          <c:showCatName val="0"/>
          <c:showSerName val="0"/>
          <c:showPercent val="0"/>
          <c:showBubbleSize val="0"/>
        </c:dLbls>
        <c:axId val="229760671"/>
        <c:axId val="229762399"/>
      </c:scatterChart>
      <c:scatterChart>
        <c:scatterStyle val="lineMarker"/>
        <c:varyColors val="0"/>
        <c:ser>
          <c:idx val="2"/>
          <c:order val="2"/>
          <c:tx>
            <c:v>ATO</c:v>
          </c:tx>
          <c:spPr>
            <a:ln w="19050" cap="rnd">
              <a:solidFill>
                <a:srgbClr val="00B050"/>
              </a:solidFill>
              <a:round/>
            </a:ln>
            <a:effectLst/>
          </c:spPr>
          <c:marker>
            <c:symbol val="circle"/>
            <c:size val="5"/>
            <c:spPr>
              <a:solidFill>
                <a:schemeClr val="accent1"/>
              </a:solidFill>
              <a:ln w="9525">
                <a:solidFill>
                  <a:schemeClr val="accent1"/>
                </a:solidFill>
              </a:ln>
              <a:effectLst/>
            </c:spPr>
          </c:marker>
          <c:xVal>
            <c:numRef>
              <c:f>'Business plan'!$C$118:$L$118</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'Business plan'!$C$110:$L$110</c:f>
              <c:numCache>
                <c:formatCode>#,##0.0;\(#,##0.0\)</c:formatCode>
                <c:ptCount val="10"/>
                <c:pt idx="0">
                  <c:v>0.38428843298842186</c:v>
                </c:pt>
                <c:pt idx="1">
                  <c:v>0.84653896881832824</c:v>
                </c:pt>
                <c:pt idx="2">
                  <c:v>1.2989462197062926</c:v>
                </c:pt>
                <c:pt idx="3">
                  <c:v>1.6825488738181824</c:v>
                </c:pt>
                <c:pt idx="4">
                  <c:v>1.8368866293340043</c:v>
                </c:pt>
                <c:pt idx="5">
                  <c:v>2.0027132450170151</c:v>
                </c:pt>
                <c:pt idx="6">
                  <c:v>2.1799992454593262</c:v>
                </c:pt>
                <c:pt idx="7">
                  <c:v>2.36844896128608</c:v>
                </c:pt>
                <c:pt idx="8">
                  <c:v>2.5674462248655789</c:v>
                </c:pt>
                <c:pt idx="9">
                  <c:v>2.7506394262487781</c:v>
                </c:pt>
              </c:numCache>
            </c:numRef>
          </c:yVal>
          <c:smooth val="0"/>
          <c:extLst>
            <c:ext xmlns:c16="http://schemas.microsoft.com/office/drawing/2014/chart" uri="{C3380CC4-5D6E-409C-BE32-E72D297353CC}">
              <c16:uniqueId val="{00000002-EB4A-CB43-A341-D8C0AB465530}"/>
            </c:ext>
          </c:extLst>
        </c:ser>
        <c:dLbls>
          <c:showLegendKey val="0"/>
          <c:showVal val="0"/>
          <c:showCatName val="0"/>
          <c:showSerName val="0"/>
          <c:showPercent val="0"/>
          <c:showBubbleSize val="0"/>
        </c:dLbls>
        <c:axId val="1419763887"/>
        <c:axId val="1419045983"/>
      </c:scatterChart>
      <c:valAx>
        <c:axId val="229760671"/>
        <c:scaling>
          <c:orientation val="minMax"/>
          <c:max val="10"/>
          <c:min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9762399"/>
        <c:crosses val="autoZero"/>
        <c:crossBetween val="midCat"/>
      </c:valAx>
      <c:valAx>
        <c:axId val="2297623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9760671"/>
        <c:crosses val="autoZero"/>
        <c:crossBetween val="midCat"/>
      </c:valAx>
      <c:valAx>
        <c:axId val="1419045983"/>
        <c:scaling>
          <c:orientation val="minMax"/>
        </c:scaling>
        <c:delete val="0"/>
        <c:axPos val="r"/>
        <c:numFmt formatCode="0.0;\(0.0\)" sourceLinked="0"/>
        <c:majorTickMark val="out"/>
        <c:minorTickMark val="none"/>
        <c:tickLblPos val="nextTo"/>
        <c:spPr>
          <a:noFill/>
          <a:ln w="19050" cap="flat" cmpd="sng" algn="ctr">
            <a:solidFill>
              <a:srgbClr val="00B05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19763887"/>
        <c:crosses val="max"/>
        <c:crossBetween val="midCat"/>
      </c:valAx>
      <c:valAx>
        <c:axId val="1419763887"/>
        <c:scaling>
          <c:orientation val="minMax"/>
        </c:scaling>
        <c:delete val="1"/>
        <c:axPos val="b"/>
        <c:numFmt formatCode="General" sourceLinked="1"/>
        <c:majorTickMark val="out"/>
        <c:minorTickMark val="none"/>
        <c:tickLblPos val="nextTo"/>
        <c:crossAx val="141904598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solidFill>
                  <a:schemeClr val="accent1"/>
                </a:solidFill>
              </a:rPr>
              <a:t>ROCE</a:t>
            </a:r>
            <a:r>
              <a:rPr lang="fr-FR"/>
              <a:t>, </a:t>
            </a:r>
            <a:r>
              <a:rPr lang="fr-FR">
                <a:solidFill>
                  <a:schemeClr val="accent2"/>
                </a:solidFill>
              </a:rPr>
              <a:t>ROE</a:t>
            </a:r>
            <a:r>
              <a:rPr lang="fr-FR"/>
              <a:t> et </a:t>
            </a:r>
            <a:r>
              <a:rPr lang="fr-FR">
                <a:solidFill>
                  <a:srgbClr val="00B050"/>
                </a:solidFill>
              </a:rPr>
              <a:t>croissance</a:t>
            </a:r>
          </a:p>
        </c:rich>
      </c:tx>
      <c:overlay val="0"/>
      <c:spPr>
        <a:noFill/>
        <a:ln>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v>ROCE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'Business plan'!$C$118:$L$118</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'Business plan'!$C$111:$L$111</c:f>
              <c:numCache>
                <c:formatCode>0.0%;\(0.0%\)</c:formatCode>
                <c:ptCount val="10"/>
                <c:pt idx="0">
                  <c:v>-0.25371102472669788</c:v>
                </c:pt>
                <c:pt idx="1">
                  <c:v>4.9026917925401488E-2</c:v>
                </c:pt>
                <c:pt idx="2">
                  <c:v>0.30819318091986198</c:v>
                </c:pt>
                <c:pt idx="3">
                  <c:v>0.50092406001914025</c:v>
                </c:pt>
                <c:pt idx="4">
                  <c:v>0.55083259926165218</c:v>
                </c:pt>
                <c:pt idx="5">
                  <c:v>0.60463211204643974</c:v>
                </c:pt>
                <c:pt idx="6">
                  <c:v>0.66233808953851403</c:v>
                </c:pt>
                <c:pt idx="7">
                  <c:v>0.72388033045540867</c:v>
                </c:pt>
                <c:pt idx="8">
                  <c:v>0.78908446758052475</c:v>
                </c:pt>
                <c:pt idx="9">
                  <c:v>0.84981806564003537</c:v>
                </c:pt>
              </c:numCache>
            </c:numRef>
          </c:yVal>
          <c:smooth val="0"/>
          <c:extLst>
            <c:ext xmlns:c16="http://schemas.microsoft.com/office/drawing/2014/chart" uri="{C3380CC4-5D6E-409C-BE32-E72D297353CC}">
              <c16:uniqueId val="{00000000-8B1B-9B46-B6F9-8D798AB81380}"/>
            </c:ext>
          </c:extLst>
        </c:ser>
        <c:ser>
          <c:idx val="2"/>
          <c:order val="1"/>
          <c:tx>
            <c:v>Croissance des CE</c:v>
          </c:tx>
          <c:spPr>
            <a:ln w="19050" cap="rnd">
              <a:solidFill>
                <a:srgbClr val="00B050"/>
              </a:solidFill>
              <a:round/>
            </a:ln>
            <a:effectLst/>
          </c:spPr>
          <c:marker>
            <c:symbol val="circle"/>
            <c:size val="5"/>
            <c:spPr>
              <a:solidFill>
                <a:schemeClr val="accent2"/>
              </a:solidFill>
              <a:ln w="9525">
                <a:solidFill>
                  <a:schemeClr val="accent2"/>
                </a:solidFill>
              </a:ln>
              <a:effectLst/>
            </c:spPr>
          </c:marker>
          <c:xVal>
            <c:numRef>
              <c:f>'Business plan'!$C$118:$K$118</c:f>
              <c:numCache>
                <c:formatCode>General</c:formatCode>
                <c:ptCount val="9"/>
                <c:pt idx="0">
                  <c:v>1</c:v>
                </c:pt>
                <c:pt idx="1">
                  <c:v>2</c:v>
                </c:pt>
                <c:pt idx="2">
                  <c:v>3</c:v>
                </c:pt>
                <c:pt idx="3">
                  <c:v>4</c:v>
                </c:pt>
                <c:pt idx="4">
                  <c:v>5</c:v>
                </c:pt>
                <c:pt idx="5">
                  <c:v>6</c:v>
                </c:pt>
                <c:pt idx="6">
                  <c:v>7</c:v>
                </c:pt>
                <c:pt idx="7">
                  <c:v>8</c:v>
                </c:pt>
                <c:pt idx="8">
                  <c:v>9</c:v>
                </c:pt>
              </c:numCache>
            </c:numRef>
          </c:xVal>
          <c:yVal>
            <c:numRef>
              <c:f>'Business plan'!$C$113:$K$113</c:f>
              <c:numCache>
                <c:formatCode>0.0%;\(0.0%\)</c:formatCode>
                <c:ptCount val="9"/>
                <c:pt idx="0">
                  <c:v>0.2915349480260126</c:v>
                </c:pt>
                <c:pt idx="1">
                  <c:v>0.13440364666530774</c:v>
                </c:pt>
                <c:pt idx="2">
                  <c:v>7.9651543355365534E-2</c:v>
                </c:pt>
                <c:pt idx="3">
                  <c:v>-2.963663903608273E-2</c:v>
                </c:pt>
                <c:pt idx="4">
                  <c:v>-2.8471163348089773E-2</c:v>
                </c:pt>
                <c:pt idx="5">
                  <c:v>-2.7046334188137722E-2</c:v>
                </c:pt>
                <c:pt idx="6">
                  <c:v>-2.533686031439205E-2</c:v>
                </c:pt>
                <c:pt idx="7">
                  <c:v>-2.3318691442612723E-2</c:v>
                </c:pt>
                <c:pt idx="8">
                  <c:v>-2.0970268517522993E-2</c:v>
                </c:pt>
              </c:numCache>
            </c:numRef>
          </c:yVal>
          <c:smooth val="0"/>
          <c:extLst>
            <c:ext xmlns:c16="http://schemas.microsoft.com/office/drawing/2014/chart" uri="{C3380CC4-5D6E-409C-BE32-E72D297353CC}">
              <c16:uniqueId val="{00000002-8B1B-9B46-B6F9-8D798AB81380}"/>
            </c:ext>
          </c:extLst>
        </c:ser>
        <c:ser>
          <c:idx val="1"/>
          <c:order val="2"/>
          <c:tx>
            <c:v>ROE</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'Business plan'!$C$118:$L$118</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'Business plan'!$C$112:$L$112</c:f>
              <c:numCache>
                <c:formatCode>0.0%;\(0.0%\)</c:formatCode>
                <c:ptCount val="10"/>
                <c:pt idx="0">
                  <c:v>-0.32121055647304414</c:v>
                </c:pt>
                <c:pt idx="1">
                  <c:v>4.0841327750671015E-2</c:v>
                </c:pt>
                <c:pt idx="2">
                  <c:v>0.30734442622436053</c:v>
                </c:pt>
                <c:pt idx="3">
                  <c:v>0.40713405662224661</c:v>
                </c:pt>
                <c:pt idx="4">
                  <c:v>0.4490652941895692</c:v>
                </c:pt>
                <c:pt idx="5">
                  <c:v>0.49426673120556058</c:v>
                </c:pt>
                <c:pt idx="6">
                  <c:v>0.54275154686114602</c:v>
                </c:pt>
                <c:pt idx="7">
                  <c:v>0.59446092738447553</c:v>
                </c:pt>
                <c:pt idx="8">
                  <c:v>0.64924853933928661</c:v>
                </c:pt>
                <c:pt idx="9">
                  <c:v>0.70040717513762962</c:v>
                </c:pt>
              </c:numCache>
            </c:numRef>
          </c:yVal>
          <c:smooth val="0"/>
          <c:extLst>
            <c:ext xmlns:c16="http://schemas.microsoft.com/office/drawing/2014/chart" uri="{C3380CC4-5D6E-409C-BE32-E72D297353CC}">
              <c16:uniqueId val="{00000004-8B1B-9B46-B6F9-8D798AB81380}"/>
            </c:ext>
          </c:extLst>
        </c:ser>
        <c:dLbls>
          <c:showLegendKey val="0"/>
          <c:showVal val="0"/>
          <c:showCatName val="0"/>
          <c:showSerName val="0"/>
          <c:showPercent val="0"/>
          <c:showBubbleSize val="0"/>
        </c:dLbls>
        <c:axId val="229760671"/>
        <c:axId val="229762399"/>
      </c:scatterChart>
      <c:valAx>
        <c:axId val="229760671"/>
        <c:scaling>
          <c:orientation val="minMax"/>
          <c:max val="10"/>
          <c:min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9762399"/>
        <c:crosses val="autoZero"/>
        <c:crossBetween val="midCat"/>
      </c:valAx>
      <c:valAx>
        <c:axId val="2297623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976067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Volume (unités)</a:t>
            </a:r>
          </a:p>
        </c:rich>
      </c:tx>
      <c:overlay val="0"/>
      <c:spPr>
        <a:noFill/>
        <a:ln w="15875">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v>Volume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'BP¨500 pleine capacité'!$B$10:$L$10</c:f>
              <c:numCache>
                <c:formatCode>#,##0</c:formatCode>
                <c:ptCount val="11"/>
                <c:pt idx="0">
                  <c:v>0</c:v>
                </c:pt>
                <c:pt idx="1">
                  <c:v>1</c:v>
                </c:pt>
                <c:pt idx="2">
                  <c:v>2</c:v>
                </c:pt>
                <c:pt idx="3">
                  <c:v>3</c:v>
                </c:pt>
                <c:pt idx="4">
                  <c:v>4</c:v>
                </c:pt>
                <c:pt idx="5">
                  <c:v>5</c:v>
                </c:pt>
                <c:pt idx="6">
                  <c:v>6</c:v>
                </c:pt>
                <c:pt idx="7">
                  <c:v>7</c:v>
                </c:pt>
                <c:pt idx="8">
                  <c:v>8</c:v>
                </c:pt>
                <c:pt idx="9">
                  <c:v>9</c:v>
                </c:pt>
                <c:pt idx="10">
                  <c:v>10</c:v>
                </c:pt>
              </c:numCache>
            </c:numRef>
          </c:xVal>
          <c:yVal>
            <c:numRef>
              <c:f>'BP¨500 pleine capacité'!$B$11:$L$11</c:f>
              <c:numCache>
                <c:formatCode>#,##0</c:formatCode>
                <c:ptCount val="11"/>
                <c:pt idx="0">
                  <c:v>0</c:v>
                </c:pt>
                <c:pt idx="1">
                  <c:v>200</c:v>
                </c:pt>
                <c:pt idx="2">
                  <c:v>500</c:v>
                </c:pt>
                <c:pt idx="3">
                  <c:v>500</c:v>
                </c:pt>
                <c:pt idx="4">
                  <c:v>500</c:v>
                </c:pt>
                <c:pt idx="5">
                  <c:v>500</c:v>
                </c:pt>
                <c:pt idx="6">
                  <c:v>500</c:v>
                </c:pt>
                <c:pt idx="7">
                  <c:v>500</c:v>
                </c:pt>
                <c:pt idx="8">
                  <c:v>500</c:v>
                </c:pt>
                <c:pt idx="9">
                  <c:v>500</c:v>
                </c:pt>
                <c:pt idx="10">
                  <c:v>500</c:v>
                </c:pt>
              </c:numCache>
            </c:numRef>
          </c:yVal>
          <c:smooth val="0"/>
          <c:extLst>
            <c:ext xmlns:c16="http://schemas.microsoft.com/office/drawing/2014/chart" uri="{C3380CC4-5D6E-409C-BE32-E72D297353CC}">
              <c16:uniqueId val="{00000000-ACC8-FA44-B749-6D382AAA4F2B}"/>
            </c:ext>
          </c:extLst>
        </c:ser>
        <c:dLbls>
          <c:showLegendKey val="0"/>
          <c:showVal val="0"/>
          <c:showCatName val="0"/>
          <c:showSerName val="0"/>
          <c:showPercent val="0"/>
          <c:showBubbleSize val="0"/>
        </c:dLbls>
        <c:axId val="1353160111"/>
        <c:axId val="1342952335"/>
      </c:scatterChart>
      <c:valAx>
        <c:axId val="135316011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42952335"/>
        <c:crosses val="autoZero"/>
        <c:crossBetween val="midCat"/>
      </c:valAx>
      <c:valAx>
        <c:axId val="13429523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31601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Volume (unités)</a:t>
            </a:r>
          </a:p>
        </c:rich>
      </c:tx>
      <c:overlay val="0"/>
      <c:spPr>
        <a:noFill/>
        <a:ln w="15875">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v>Volume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'BP¨500 capacité réduite'!$B$10:$L$10</c:f>
              <c:numCache>
                <c:formatCode>#,##0</c:formatCode>
                <c:ptCount val="11"/>
                <c:pt idx="0">
                  <c:v>0</c:v>
                </c:pt>
                <c:pt idx="1">
                  <c:v>1</c:v>
                </c:pt>
                <c:pt idx="2">
                  <c:v>2</c:v>
                </c:pt>
                <c:pt idx="3">
                  <c:v>3</c:v>
                </c:pt>
                <c:pt idx="4">
                  <c:v>4</c:v>
                </c:pt>
                <c:pt idx="5">
                  <c:v>5</c:v>
                </c:pt>
                <c:pt idx="6">
                  <c:v>6</c:v>
                </c:pt>
                <c:pt idx="7">
                  <c:v>7</c:v>
                </c:pt>
                <c:pt idx="8">
                  <c:v>8</c:v>
                </c:pt>
                <c:pt idx="9">
                  <c:v>9</c:v>
                </c:pt>
                <c:pt idx="10">
                  <c:v>10</c:v>
                </c:pt>
              </c:numCache>
            </c:numRef>
          </c:xVal>
          <c:yVal>
            <c:numRef>
              <c:f>'BP¨500 capacité réduite'!$B$11:$L$11</c:f>
              <c:numCache>
                <c:formatCode>#,##0</c:formatCode>
                <c:ptCount val="11"/>
                <c:pt idx="0">
                  <c:v>0</c:v>
                </c:pt>
                <c:pt idx="1">
                  <c:v>200</c:v>
                </c:pt>
                <c:pt idx="2">
                  <c:v>500</c:v>
                </c:pt>
                <c:pt idx="3">
                  <c:v>500</c:v>
                </c:pt>
                <c:pt idx="4">
                  <c:v>500</c:v>
                </c:pt>
                <c:pt idx="5">
                  <c:v>500</c:v>
                </c:pt>
                <c:pt idx="6">
                  <c:v>500</c:v>
                </c:pt>
                <c:pt idx="7">
                  <c:v>500</c:v>
                </c:pt>
                <c:pt idx="8">
                  <c:v>500</c:v>
                </c:pt>
                <c:pt idx="9">
                  <c:v>500</c:v>
                </c:pt>
                <c:pt idx="10">
                  <c:v>500</c:v>
                </c:pt>
              </c:numCache>
            </c:numRef>
          </c:yVal>
          <c:smooth val="0"/>
          <c:extLst>
            <c:ext xmlns:c16="http://schemas.microsoft.com/office/drawing/2014/chart" uri="{C3380CC4-5D6E-409C-BE32-E72D297353CC}">
              <c16:uniqueId val="{00000000-69F6-5046-966F-37D2944B1D5D}"/>
            </c:ext>
          </c:extLst>
        </c:ser>
        <c:dLbls>
          <c:showLegendKey val="0"/>
          <c:showVal val="0"/>
          <c:showCatName val="0"/>
          <c:showSerName val="0"/>
          <c:showPercent val="0"/>
          <c:showBubbleSize val="0"/>
        </c:dLbls>
        <c:axId val="1353160111"/>
        <c:axId val="1342952335"/>
      </c:scatterChart>
      <c:valAx>
        <c:axId val="135316011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42952335"/>
        <c:crosses val="autoZero"/>
        <c:crossBetween val="midCat"/>
      </c:valAx>
      <c:valAx>
        <c:axId val="13429523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31601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Volume (unités)</a:t>
            </a:r>
          </a:p>
        </c:rich>
      </c:tx>
      <c:overlay val="0"/>
      <c:spPr>
        <a:noFill/>
        <a:ln w="15875">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v>Volume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'Business Plan par étages'!$B$11:$L$11</c:f>
              <c:numCache>
                <c:formatCode>#,##0</c:formatCode>
                <c:ptCount val="11"/>
                <c:pt idx="0">
                  <c:v>0</c:v>
                </c:pt>
                <c:pt idx="1">
                  <c:v>1</c:v>
                </c:pt>
                <c:pt idx="2">
                  <c:v>2</c:v>
                </c:pt>
                <c:pt idx="3">
                  <c:v>3</c:v>
                </c:pt>
                <c:pt idx="4">
                  <c:v>4</c:v>
                </c:pt>
                <c:pt idx="5">
                  <c:v>5</c:v>
                </c:pt>
                <c:pt idx="6">
                  <c:v>6</c:v>
                </c:pt>
                <c:pt idx="7">
                  <c:v>7</c:v>
                </c:pt>
                <c:pt idx="8">
                  <c:v>8</c:v>
                </c:pt>
                <c:pt idx="9">
                  <c:v>9</c:v>
                </c:pt>
                <c:pt idx="10">
                  <c:v>10</c:v>
                </c:pt>
              </c:numCache>
            </c:numRef>
          </c:xVal>
          <c:yVal>
            <c:numRef>
              <c:f>'Business Plan par étages'!$B$12:$L$12</c:f>
              <c:numCache>
                <c:formatCode>#,##0</c:formatCode>
                <c:ptCount val="11"/>
                <c:pt idx="0">
                  <c:v>0</c:v>
                </c:pt>
                <c:pt idx="1">
                  <c:v>200</c:v>
                </c:pt>
                <c:pt idx="2">
                  <c:v>500</c:v>
                </c:pt>
                <c:pt idx="3">
                  <c:v>800</c:v>
                </c:pt>
                <c:pt idx="4">
                  <c:v>1000</c:v>
                </c:pt>
                <c:pt idx="5">
                  <c:v>1000</c:v>
                </c:pt>
                <c:pt idx="6">
                  <c:v>1000</c:v>
                </c:pt>
                <c:pt idx="7">
                  <c:v>1000</c:v>
                </c:pt>
                <c:pt idx="8">
                  <c:v>1000</c:v>
                </c:pt>
                <c:pt idx="9">
                  <c:v>1000</c:v>
                </c:pt>
                <c:pt idx="10">
                  <c:v>1000</c:v>
                </c:pt>
              </c:numCache>
            </c:numRef>
          </c:yVal>
          <c:smooth val="0"/>
          <c:extLst>
            <c:ext xmlns:c16="http://schemas.microsoft.com/office/drawing/2014/chart" uri="{C3380CC4-5D6E-409C-BE32-E72D297353CC}">
              <c16:uniqueId val="{00000000-FC56-A04A-919A-1B1A331C38C0}"/>
            </c:ext>
          </c:extLst>
        </c:ser>
        <c:dLbls>
          <c:showLegendKey val="0"/>
          <c:showVal val="0"/>
          <c:showCatName val="0"/>
          <c:showSerName val="0"/>
          <c:showPercent val="0"/>
          <c:showBubbleSize val="0"/>
        </c:dLbls>
        <c:axId val="1353160111"/>
        <c:axId val="1342952335"/>
      </c:scatterChart>
      <c:valAx>
        <c:axId val="135316011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42952335"/>
        <c:crosses val="autoZero"/>
        <c:crossBetween val="midCat"/>
      </c:valAx>
      <c:valAx>
        <c:axId val="13429523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31601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0363D57-2DC2-A04B-B090-3FEB52710613}">
  <sheetPr/>
  <sheetViews>
    <sheetView zoomScale="15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7" Type="http://schemas.openxmlformats.org/officeDocument/2006/relationships/image" Target="../media/image2.png"/><Relationship Id="rId2" Type="http://schemas.openxmlformats.org/officeDocument/2006/relationships/customXml" Target="../ink/ink1.xml"/><Relationship Id="rId1" Type="http://schemas.openxmlformats.org/officeDocument/2006/relationships/image" Target="../media/image1.png"/><Relationship Id="rId6" Type="http://schemas.openxmlformats.org/officeDocument/2006/relationships/customXml" Target="../ink/ink3.xml"/><Relationship Id="rId5" Type="http://schemas.openxmlformats.org/officeDocument/2006/relationships/customXml" Target="../ink/ink2.xml"/><Relationship Id="rId4"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25</xdr:col>
      <xdr:colOff>0</xdr:colOff>
      <xdr:row>0</xdr:row>
      <xdr:rowOff>101600</xdr:rowOff>
    </xdr:from>
    <xdr:to>
      <xdr:col>35</xdr:col>
      <xdr:colOff>774700</xdr:colOff>
      <xdr:row>18</xdr:row>
      <xdr:rowOff>156169</xdr:rowOff>
    </xdr:to>
    <xdr:pic>
      <xdr:nvPicPr>
        <xdr:cNvPr id="3" name="Image 2">
          <a:extLst>
            <a:ext uri="{FF2B5EF4-FFF2-40B4-BE49-F238E27FC236}">
              <a16:creationId xmlns:a16="http://schemas.microsoft.com/office/drawing/2014/main" id="{26D74980-85B8-41A5-5E69-59C76614E018}"/>
            </a:ext>
          </a:extLst>
        </xdr:cNvPr>
        <xdr:cNvPicPr>
          <a:picLocks noChangeAspect="1"/>
        </xdr:cNvPicPr>
      </xdr:nvPicPr>
      <xdr:blipFill>
        <a:blip xmlns:r="http://schemas.openxmlformats.org/officeDocument/2006/relationships" r:embed="rId1"/>
        <a:stretch>
          <a:fillRect/>
        </a:stretch>
      </xdr:blipFill>
      <xdr:spPr>
        <a:xfrm>
          <a:off x="22377400" y="101600"/>
          <a:ext cx="10287000" cy="3750269"/>
        </a:xfrm>
        <a:prstGeom prst="rect">
          <a:avLst/>
        </a:prstGeom>
      </xdr:spPr>
    </xdr:pic>
    <xdr:clientData/>
  </xdr:twoCellAnchor>
  <xdr:twoCellAnchor editAs="oneCell">
    <xdr:from>
      <xdr:col>33</xdr:col>
      <xdr:colOff>415257</xdr:colOff>
      <xdr:row>39</xdr:row>
      <xdr:rowOff>147377</xdr:rowOff>
    </xdr:from>
    <xdr:to>
      <xdr:col>33</xdr:col>
      <xdr:colOff>415617</xdr:colOff>
      <xdr:row>39</xdr:row>
      <xdr:rowOff>147737</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E3035291-ECFC-CE49-2D3E-609DA250806E}"/>
                </a:ext>
              </a:extLst>
            </xdr14:cNvPr>
            <xdr14:cNvContentPartPr/>
          </xdr14:nvContentPartPr>
          <xdr14:nvPr macro=""/>
          <xdr14:xfrm>
            <a:off x="30651840" y="8031960"/>
            <a:ext cx="360" cy="360"/>
          </xdr14:xfrm>
        </xdr:contentPart>
      </mc:Choice>
      <mc:Fallback xmlns="">
        <xdr:pic>
          <xdr:nvPicPr>
            <xdr:cNvPr id="5" name="Encre 4">
              <a:extLst>
                <a:ext uri="{FF2B5EF4-FFF2-40B4-BE49-F238E27FC236}">
                  <a16:creationId xmlns:a16="http://schemas.microsoft.com/office/drawing/2014/main" id="{E3035291-ECFC-CE49-2D3E-609DA250806E}"/>
                </a:ext>
              </a:extLst>
            </xdr:cNvPr>
            <xdr:cNvPicPr/>
          </xdr:nvPicPr>
          <xdr:blipFill>
            <a:blip xmlns:r="http://schemas.openxmlformats.org/officeDocument/2006/relationships" r:embed="rId4"/>
            <a:stretch>
              <a:fillRect/>
            </a:stretch>
          </xdr:blipFill>
          <xdr:spPr>
            <a:xfrm>
              <a:off x="30642840" y="8022960"/>
              <a:ext cx="18000" cy="18000"/>
            </a:xfrm>
            <a:prstGeom prst="rect">
              <a:avLst/>
            </a:prstGeom>
          </xdr:spPr>
        </xdr:pic>
      </mc:Fallback>
    </mc:AlternateContent>
    <xdr:clientData/>
  </xdr:twoCellAnchor>
  <xdr:twoCellAnchor editAs="oneCell">
    <xdr:from>
      <xdr:col>33</xdr:col>
      <xdr:colOff>108177</xdr:colOff>
      <xdr:row>40</xdr:row>
      <xdr:rowOff>148253</xdr:rowOff>
    </xdr:from>
    <xdr:to>
      <xdr:col>33</xdr:col>
      <xdr:colOff>108537</xdr:colOff>
      <xdr:row>40</xdr:row>
      <xdr:rowOff>148613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6" name="Encre 5">
              <a:extLst>
                <a:ext uri="{FF2B5EF4-FFF2-40B4-BE49-F238E27FC236}">
                  <a16:creationId xmlns:a16="http://schemas.microsoft.com/office/drawing/2014/main" id="{27DDDBFA-7423-81D3-B035-1703763D35BB}"/>
                </a:ext>
              </a:extLst>
            </xdr14:cNvPr>
            <xdr14:cNvContentPartPr/>
          </xdr14:nvContentPartPr>
          <xdr14:nvPr macro=""/>
          <xdr14:xfrm>
            <a:off x="30344760" y="8233920"/>
            <a:ext cx="360" cy="360"/>
          </xdr14:xfrm>
        </xdr:contentPart>
      </mc:Choice>
      <mc:Fallback xmlns="">
        <xdr:pic>
          <xdr:nvPicPr>
            <xdr:cNvPr id="6" name="Encre 5">
              <a:extLst>
                <a:ext uri="{FF2B5EF4-FFF2-40B4-BE49-F238E27FC236}">
                  <a16:creationId xmlns:a16="http://schemas.microsoft.com/office/drawing/2014/main" id="{27DDDBFA-7423-81D3-B035-1703763D35BB}"/>
                </a:ext>
              </a:extLst>
            </xdr:cNvPr>
            <xdr:cNvPicPr/>
          </xdr:nvPicPr>
          <xdr:blipFill>
            <a:blip xmlns:r="http://schemas.openxmlformats.org/officeDocument/2006/relationships" r:embed="rId4"/>
            <a:stretch>
              <a:fillRect/>
            </a:stretch>
          </xdr:blipFill>
          <xdr:spPr>
            <a:xfrm>
              <a:off x="30335760" y="8224920"/>
              <a:ext cx="18000" cy="18000"/>
            </a:xfrm>
            <a:prstGeom prst="rect">
              <a:avLst/>
            </a:prstGeom>
          </xdr:spPr>
        </xdr:pic>
      </mc:Fallback>
    </mc:AlternateContent>
    <xdr:clientData/>
  </xdr:twoCellAnchor>
  <xdr:twoCellAnchor editAs="oneCell">
    <xdr:from>
      <xdr:col>34</xdr:col>
      <xdr:colOff>37237</xdr:colOff>
      <xdr:row>36</xdr:row>
      <xdr:rowOff>142947</xdr:rowOff>
    </xdr:from>
    <xdr:to>
      <xdr:col>34</xdr:col>
      <xdr:colOff>37597</xdr:colOff>
      <xdr:row>36</xdr:row>
      <xdr:rowOff>143307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7" name="Encre 6">
              <a:extLst>
                <a:ext uri="{FF2B5EF4-FFF2-40B4-BE49-F238E27FC236}">
                  <a16:creationId xmlns:a16="http://schemas.microsoft.com/office/drawing/2014/main" id="{CBF07510-50F2-1CBA-64CA-D1F638F86004}"/>
                </a:ext>
              </a:extLst>
            </xdr14:cNvPr>
            <xdr14:cNvContentPartPr/>
          </xdr14:nvContentPartPr>
          <xdr14:nvPr macro=""/>
          <xdr14:xfrm>
            <a:off x="31099320" y="7424280"/>
            <a:ext cx="360" cy="360"/>
          </xdr14:xfrm>
        </xdr:contentPart>
      </mc:Choice>
      <mc:Fallback xmlns="">
        <xdr:pic>
          <xdr:nvPicPr>
            <xdr:cNvPr id="7" name="Encre 6">
              <a:extLst>
                <a:ext uri="{FF2B5EF4-FFF2-40B4-BE49-F238E27FC236}">
                  <a16:creationId xmlns:a16="http://schemas.microsoft.com/office/drawing/2014/main" id="{CBF07510-50F2-1CBA-64CA-D1F638F86004}"/>
                </a:ext>
              </a:extLst>
            </xdr:cNvPr>
            <xdr:cNvPicPr/>
          </xdr:nvPicPr>
          <xdr:blipFill>
            <a:blip xmlns:r="http://schemas.openxmlformats.org/officeDocument/2006/relationships" r:embed="rId4"/>
            <a:stretch>
              <a:fillRect/>
            </a:stretch>
          </xdr:blipFill>
          <xdr:spPr>
            <a:xfrm>
              <a:off x="31090320" y="7415280"/>
              <a:ext cx="18000" cy="18000"/>
            </a:xfrm>
            <a:prstGeom prst="rect">
              <a:avLst/>
            </a:prstGeom>
          </xdr:spPr>
        </xdr:pic>
      </mc:Fallback>
    </mc:AlternateContent>
    <xdr:clientData/>
  </xdr:twoCellAnchor>
  <xdr:twoCellAnchor editAs="oneCell">
    <xdr:from>
      <xdr:col>24</xdr:col>
      <xdr:colOff>804677</xdr:colOff>
      <xdr:row>31</xdr:row>
      <xdr:rowOff>132292</xdr:rowOff>
    </xdr:from>
    <xdr:to>
      <xdr:col>36</xdr:col>
      <xdr:colOff>31750</xdr:colOff>
      <xdr:row>61</xdr:row>
      <xdr:rowOff>70364</xdr:rowOff>
    </xdr:to>
    <xdr:pic>
      <xdr:nvPicPr>
        <xdr:cNvPr id="8" name="Image 7">
          <a:extLst>
            <a:ext uri="{FF2B5EF4-FFF2-40B4-BE49-F238E27FC236}">
              <a16:creationId xmlns:a16="http://schemas.microsoft.com/office/drawing/2014/main" id="{DF7D2CD6-B114-7330-8122-F84E35CBED36}"/>
            </a:ext>
          </a:extLst>
        </xdr:cNvPr>
        <xdr:cNvPicPr>
          <a:picLocks noChangeAspect="1"/>
        </xdr:cNvPicPr>
      </xdr:nvPicPr>
      <xdr:blipFill>
        <a:blip xmlns:r="http://schemas.openxmlformats.org/officeDocument/2006/relationships" r:embed="rId7"/>
        <a:stretch>
          <a:fillRect/>
        </a:stretch>
      </xdr:blipFill>
      <xdr:spPr>
        <a:xfrm>
          <a:off x="24394927" y="6561667"/>
          <a:ext cx="10387198" cy="61293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313333" cy="6070600"/>
    <xdr:graphicFrame macro="">
      <xdr:nvGraphicFramePr>
        <xdr:cNvPr id="2" name="Graphique 1">
          <a:extLst>
            <a:ext uri="{FF2B5EF4-FFF2-40B4-BE49-F238E27FC236}">
              <a16:creationId xmlns:a16="http://schemas.microsoft.com/office/drawing/2014/main" id="{B2E83715-3EE2-F7ED-16FF-E7856316CEA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5</xdr:col>
      <xdr:colOff>10585</xdr:colOff>
      <xdr:row>9</xdr:row>
      <xdr:rowOff>8467</xdr:rowOff>
    </xdr:from>
    <xdr:to>
      <xdr:col>9</xdr:col>
      <xdr:colOff>1121833</xdr:colOff>
      <xdr:row>23</xdr:row>
      <xdr:rowOff>190501</xdr:rowOff>
    </xdr:to>
    <xdr:graphicFrame macro="">
      <xdr:nvGraphicFramePr>
        <xdr:cNvPr id="3" name="Graphique 2">
          <a:extLst>
            <a:ext uri="{FF2B5EF4-FFF2-40B4-BE49-F238E27FC236}">
              <a16:creationId xmlns:a16="http://schemas.microsoft.com/office/drawing/2014/main" id="{3D7A891A-7DC1-9246-BF6E-2C06AC628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86078</xdr:colOff>
      <xdr:row>100</xdr:row>
      <xdr:rowOff>146755</xdr:rowOff>
    </xdr:from>
    <xdr:to>
      <xdr:col>17</xdr:col>
      <xdr:colOff>417336</xdr:colOff>
      <xdr:row>113</xdr:row>
      <xdr:rowOff>219427</xdr:rowOff>
    </xdr:to>
    <xdr:graphicFrame macro="">
      <xdr:nvGraphicFramePr>
        <xdr:cNvPr id="2" name="Graphique 1">
          <a:extLst>
            <a:ext uri="{FF2B5EF4-FFF2-40B4-BE49-F238E27FC236}">
              <a16:creationId xmlns:a16="http://schemas.microsoft.com/office/drawing/2014/main" id="{6F2866CE-FD5F-14BE-1EC1-2AF2548574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52918</xdr:colOff>
      <xdr:row>66</xdr:row>
      <xdr:rowOff>131233</xdr:rowOff>
    </xdr:from>
    <xdr:to>
      <xdr:col>17</xdr:col>
      <xdr:colOff>497417</xdr:colOff>
      <xdr:row>78</xdr:row>
      <xdr:rowOff>196850</xdr:rowOff>
    </xdr:to>
    <xdr:graphicFrame macro="">
      <xdr:nvGraphicFramePr>
        <xdr:cNvPr id="4" name="Graphique 3">
          <a:extLst>
            <a:ext uri="{FF2B5EF4-FFF2-40B4-BE49-F238E27FC236}">
              <a16:creationId xmlns:a16="http://schemas.microsoft.com/office/drawing/2014/main" id="{B1AE7A72-1E71-12F5-B965-9783ED1A5C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112889</xdr:colOff>
      <xdr:row>115</xdr:row>
      <xdr:rowOff>14111</xdr:rowOff>
    </xdr:from>
    <xdr:to>
      <xdr:col>17</xdr:col>
      <xdr:colOff>435680</xdr:colOff>
      <xdr:row>126</xdr:row>
      <xdr:rowOff>64911</xdr:rowOff>
    </xdr:to>
    <xdr:graphicFrame macro="">
      <xdr:nvGraphicFramePr>
        <xdr:cNvPr id="5" name="Graphique 4">
          <a:extLst>
            <a:ext uri="{FF2B5EF4-FFF2-40B4-BE49-F238E27FC236}">
              <a16:creationId xmlns:a16="http://schemas.microsoft.com/office/drawing/2014/main" id="{B62A1D76-4CD9-474E-BFC9-58A2B27F16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127000</xdr:colOff>
      <xdr:row>127</xdr:row>
      <xdr:rowOff>14111</xdr:rowOff>
    </xdr:from>
    <xdr:to>
      <xdr:col>17</xdr:col>
      <xdr:colOff>449791</xdr:colOff>
      <xdr:row>138</xdr:row>
      <xdr:rowOff>141816</xdr:rowOff>
    </xdr:to>
    <xdr:graphicFrame macro="">
      <xdr:nvGraphicFramePr>
        <xdr:cNvPr id="7" name="Graphique 6">
          <a:extLst>
            <a:ext uri="{FF2B5EF4-FFF2-40B4-BE49-F238E27FC236}">
              <a16:creationId xmlns:a16="http://schemas.microsoft.com/office/drawing/2014/main" id="{96E3D2E0-6164-A54D-BF2D-287794081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12700</xdr:colOff>
      <xdr:row>13</xdr:row>
      <xdr:rowOff>19050</xdr:rowOff>
    </xdr:from>
    <xdr:to>
      <xdr:col>12</xdr:col>
      <xdr:colOff>76200</xdr:colOff>
      <xdr:row>24</xdr:row>
      <xdr:rowOff>95250</xdr:rowOff>
    </xdr:to>
    <xdr:graphicFrame macro="">
      <xdr:nvGraphicFramePr>
        <xdr:cNvPr id="2" name="Graphique 1">
          <a:extLst>
            <a:ext uri="{FF2B5EF4-FFF2-40B4-BE49-F238E27FC236}">
              <a16:creationId xmlns:a16="http://schemas.microsoft.com/office/drawing/2014/main" id="{DB32B98D-E31C-FA49-92E3-59269527E5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12700</xdr:colOff>
      <xdr:row>13</xdr:row>
      <xdr:rowOff>19050</xdr:rowOff>
    </xdr:from>
    <xdr:to>
      <xdr:col>12</xdr:col>
      <xdr:colOff>76200</xdr:colOff>
      <xdr:row>24</xdr:row>
      <xdr:rowOff>95250</xdr:rowOff>
    </xdr:to>
    <xdr:graphicFrame macro="">
      <xdr:nvGraphicFramePr>
        <xdr:cNvPr id="2" name="Graphique 1">
          <a:extLst>
            <a:ext uri="{FF2B5EF4-FFF2-40B4-BE49-F238E27FC236}">
              <a16:creationId xmlns:a16="http://schemas.microsoft.com/office/drawing/2014/main" id="{F2AA745F-D946-4345-B0B9-73A60E1B31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12700</xdr:colOff>
      <xdr:row>14</xdr:row>
      <xdr:rowOff>19050</xdr:rowOff>
    </xdr:from>
    <xdr:to>
      <xdr:col>12</xdr:col>
      <xdr:colOff>76200</xdr:colOff>
      <xdr:row>25</xdr:row>
      <xdr:rowOff>95250</xdr:rowOff>
    </xdr:to>
    <xdr:graphicFrame macro="">
      <xdr:nvGraphicFramePr>
        <xdr:cNvPr id="2" name="Graphique 1">
          <a:extLst>
            <a:ext uri="{FF2B5EF4-FFF2-40B4-BE49-F238E27FC236}">
              <a16:creationId xmlns:a16="http://schemas.microsoft.com/office/drawing/2014/main" id="{6C7DC02A-0551-E541-8F9F-35A01A1888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3-31T11:35:16.573"/>
    </inkml:context>
    <inkml:brush xml:id="br0">
      <inkml:brushProperty name="width" value="0.05" units="cm"/>
      <inkml:brushProperty name="height" value="0.05" units="cm"/>
      <inkml:brushProperty name="color" value="#E71224"/>
    </inkml:brush>
  </inkml:definitions>
  <inkml:trace contextRef="#ctx0" brushRef="#br0">0 0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3-31T11:35:17.506"/>
    </inkml:context>
    <inkml:brush xml:id="br0">
      <inkml:brushProperty name="width" value="0.05" units="cm"/>
      <inkml:brushProperty name="height" value="0.05" units="cm"/>
      <inkml:brushProperty name="color" value="#E71224"/>
    </inkml:brush>
  </inkml:definitions>
  <inkml:trace contextRef="#ctx0" brushRef="#br0">0 0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3-31T11:35:18.323"/>
    </inkml:context>
    <inkml:brush xml:id="br0">
      <inkml:brushProperty name="width" value="0.05" units="cm"/>
      <inkml:brushProperty name="height" value="0.05" units="cm"/>
      <inkml:brushProperty name="color" value="#E71224"/>
    </inkml:brush>
  </inkml:definitions>
  <inkml:trace contextRef="#ctx0" brushRef="#br0">0 0 24575,'0'0'0</inkml:trace>
</inkml:ink>
</file>

<file path=xl/persons/person.xml><?xml version="1.0" encoding="utf-8"?>
<personList xmlns="http://schemas.microsoft.com/office/spreadsheetml/2018/threadedcomments" xmlns:x="http://schemas.openxmlformats.org/spreadsheetml/2006/main">
  <person displayName="Asmae Chakouk" id="{F1F8AED6-5517-41F6-9DC1-F32D2622308E}" userId="S::Asmae.Chakouk@um6p.ma::4ec69a1d-50b3-4dcb-97fa-1e5b0cc5558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 dT="2023-11-16T10:56:32.09" personId="{F1F8AED6-5517-41F6-9DC1-F32D2622308E}" id="{A9F5A88C-E7F6-495A-A1D2-79C3E1A2243A}">
    <text xml:space="preserve">La phrase initiale était "Nouvelle machine", nous avons rajouté "introduction fin de l'année 2" </text>
  </threadedComment>
</ThreadedComment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A2FE6-1031-7146-895E-1D42F7A989AC}">
  <dimension ref="B2:C33"/>
  <sheetViews>
    <sheetView showGridLines="0" tabSelected="1" zoomScale="140" zoomScaleNormal="140" workbookViewId="0">
      <selection activeCell="B2" sqref="B2"/>
    </sheetView>
  </sheetViews>
  <sheetFormatPr baseColWidth="10" defaultRowHeight="16"/>
  <cols>
    <col min="2" max="2" width="33.1640625" customWidth="1"/>
    <col min="3" max="3" width="76.33203125" customWidth="1"/>
  </cols>
  <sheetData>
    <row r="2" spans="2:3" ht="23">
      <c r="B2" s="268" t="s">
        <v>264</v>
      </c>
      <c r="C2" s="269"/>
    </row>
    <row r="3" spans="2:3" ht="18">
      <c r="B3" s="269"/>
      <c r="C3" s="269"/>
    </row>
    <row r="4" spans="2:3" ht="18">
      <c r="B4" s="270"/>
      <c r="C4" s="271"/>
    </row>
    <row r="5" spans="2:3" ht="38">
      <c r="B5" s="272" t="s">
        <v>265</v>
      </c>
      <c r="C5" s="273" t="s">
        <v>270</v>
      </c>
    </row>
    <row r="6" spans="2:3" ht="18">
      <c r="B6" s="274"/>
      <c r="C6" s="275"/>
    </row>
    <row r="7" spans="2:3" ht="18">
      <c r="B7" s="270"/>
      <c r="C7" s="271"/>
    </row>
    <row r="8" spans="2:3" ht="38">
      <c r="B8" s="272" t="s">
        <v>162</v>
      </c>
      <c r="C8" s="273" t="s">
        <v>271</v>
      </c>
    </row>
    <row r="9" spans="2:3" ht="18">
      <c r="B9" s="274"/>
      <c r="C9" s="275"/>
    </row>
    <row r="10" spans="2:3" ht="18">
      <c r="B10" s="270"/>
      <c r="C10" s="271"/>
    </row>
    <row r="11" spans="2:3" ht="38">
      <c r="B11" s="272" t="s">
        <v>22</v>
      </c>
      <c r="C11" s="273" t="s">
        <v>279</v>
      </c>
    </row>
    <row r="12" spans="2:3" ht="18">
      <c r="B12" s="274"/>
      <c r="C12" s="275"/>
    </row>
    <row r="13" spans="2:3" ht="18">
      <c r="B13" s="270"/>
      <c r="C13" s="271"/>
    </row>
    <row r="14" spans="2:3" ht="19">
      <c r="B14" s="272" t="s">
        <v>266</v>
      </c>
      <c r="C14" s="273" t="s">
        <v>272</v>
      </c>
    </row>
    <row r="15" spans="2:3" ht="18">
      <c r="B15" s="274"/>
      <c r="C15" s="275"/>
    </row>
    <row r="16" spans="2:3" ht="18">
      <c r="B16" s="270"/>
      <c r="C16" s="271"/>
    </row>
    <row r="17" spans="2:3" ht="38">
      <c r="B17" s="272" t="s">
        <v>31</v>
      </c>
      <c r="C17" s="273" t="s">
        <v>273</v>
      </c>
    </row>
    <row r="18" spans="2:3" ht="18">
      <c r="B18" s="274"/>
      <c r="C18" s="275"/>
    </row>
    <row r="19" spans="2:3" ht="18">
      <c r="B19" s="270"/>
      <c r="C19" s="271"/>
    </row>
    <row r="20" spans="2:3" ht="95">
      <c r="B20" s="272" t="s">
        <v>40</v>
      </c>
      <c r="C20" s="273" t="s">
        <v>274</v>
      </c>
    </row>
    <row r="21" spans="2:3" ht="18">
      <c r="B21" s="274"/>
      <c r="C21" s="275"/>
    </row>
    <row r="22" spans="2:3" ht="18">
      <c r="B22" s="270"/>
      <c r="C22" s="271"/>
    </row>
    <row r="23" spans="2:3" ht="38">
      <c r="B23" s="272" t="s">
        <v>268</v>
      </c>
      <c r="C23" s="273" t="s">
        <v>275</v>
      </c>
    </row>
    <row r="24" spans="2:3" ht="18">
      <c r="B24" s="274"/>
      <c r="C24" s="275"/>
    </row>
    <row r="25" spans="2:3" ht="18">
      <c r="B25" s="270"/>
      <c r="C25" s="271"/>
    </row>
    <row r="26" spans="2:3" ht="38">
      <c r="B26" s="272" t="s">
        <v>267</v>
      </c>
      <c r="C26" s="273" t="s">
        <v>276</v>
      </c>
    </row>
    <row r="27" spans="2:3" ht="18">
      <c r="B27" s="274"/>
      <c r="C27" s="275"/>
    </row>
    <row r="28" spans="2:3" ht="18">
      <c r="B28" s="270"/>
      <c r="C28" s="271"/>
    </row>
    <row r="29" spans="2:3" ht="57">
      <c r="B29" s="272" t="s">
        <v>269</v>
      </c>
      <c r="C29" s="273" t="s">
        <v>277</v>
      </c>
    </row>
    <row r="30" spans="2:3" ht="18">
      <c r="B30" s="274"/>
      <c r="C30" s="275"/>
    </row>
    <row r="31" spans="2:3" ht="18">
      <c r="B31" s="270"/>
      <c r="C31" s="271"/>
    </row>
    <row r="32" spans="2:3" ht="95">
      <c r="B32" s="272" t="s">
        <v>187</v>
      </c>
      <c r="C32" s="273" t="s">
        <v>278</v>
      </c>
    </row>
    <row r="33" spans="2:3" ht="18">
      <c r="B33" s="274"/>
      <c r="C33" s="27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65E7-7619-5E47-BC5F-7F6B5B0FD5FB}">
  <dimension ref="A1:S131"/>
  <sheetViews>
    <sheetView showGridLines="0" zoomScale="110" zoomScaleNormal="110" workbookViewId="0">
      <selection activeCell="A2" sqref="A2"/>
    </sheetView>
  </sheetViews>
  <sheetFormatPr baseColWidth="10" defaultColWidth="10.83203125" defaultRowHeight="19"/>
  <cols>
    <col min="1" max="1" width="42.1640625" style="170" customWidth="1"/>
    <col min="2" max="12" width="14.83203125" style="26" customWidth="1"/>
    <col min="13" max="16384" width="10.83203125" style="26"/>
  </cols>
  <sheetData>
    <row r="1" spans="1:16" ht="20" thickBot="1">
      <c r="I1"/>
      <c r="J1"/>
      <c r="K1"/>
      <c r="L1"/>
      <c r="M1"/>
      <c r="N1"/>
      <c r="O1"/>
      <c r="P1"/>
    </row>
    <row r="2" spans="1:16" ht="31" thickTop="1" thickBot="1">
      <c r="A2" s="22" t="s">
        <v>39</v>
      </c>
      <c r="D2" s="159" t="s">
        <v>187</v>
      </c>
      <c r="I2"/>
      <c r="J2"/>
      <c r="K2"/>
      <c r="L2"/>
      <c r="M2"/>
      <c r="N2"/>
      <c r="O2"/>
      <c r="P2"/>
    </row>
    <row r="3" spans="1:16" ht="19" customHeight="1" thickTop="1"/>
    <row r="4" spans="1:16" ht="19" customHeight="1">
      <c r="B4" s="171"/>
      <c r="C4" s="172"/>
      <c r="D4" s="172"/>
      <c r="E4" s="172"/>
      <c r="F4" s="172"/>
      <c r="G4" s="172"/>
      <c r="H4" s="173"/>
    </row>
    <row r="5" spans="1:16" ht="19" customHeight="1">
      <c r="B5" s="174"/>
      <c r="C5" s="183" t="s">
        <v>188</v>
      </c>
      <c r="D5" s="184"/>
      <c r="E5" s="184"/>
      <c r="F5" s="185" t="s">
        <v>283</v>
      </c>
      <c r="G5" s="176"/>
      <c r="H5" s="178"/>
    </row>
    <row r="6" spans="1:16" ht="19" customHeight="1">
      <c r="B6" s="174"/>
      <c r="C6" s="175"/>
      <c r="D6" s="176"/>
      <c r="E6" s="176"/>
      <c r="F6" s="176"/>
      <c r="G6" s="176"/>
      <c r="H6" s="178"/>
    </row>
    <row r="7" spans="1:16" ht="19" customHeight="1">
      <c r="B7" s="174" t="s">
        <v>192</v>
      </c>
      <c r="C7" s="179">
        <v>0.4</v>
      </c>
      <c r="D7" s="176"/>
      <c r="E7" s="176"/>
      <c r="F7" s="177" t="s">
        <v>189</v>
      </c>
      <c r="G7" s="176"/>
      <c r="H7" s="178"/>
    </row>
    <row r="8" spans="1:16" ht="19" customHeight="1">
      <c r="B8" s="174" t="s">
        <v>193</v>
      </c>
      <c r="C8" s="179">
        <v>1</v>
      </c>
      <c r="D8" s="176"/>
      <c r="E8" s="176"/>
      <c r="F8" s="177" t="s">
        <v>190</v>
      </c>
      <c r="G8" s="176"/>
      <c r="H8" s="178"/>
    </row>
    <row r="9" spans="1:16" ht="19" customHeight="1">
      <c r="B9" s="174" t="s">
        <v>194</v>
      </c>
      <c r="C9" s="179">
        <v>0.8</v>
      </c>
      <c r="D9" s="176"/>
      <c r="E9" s="176"/>
      <c r="F9" s="177" t="s">
        <v>191</v>
      </c>
      <c r="G9" s="176"/>
      <c r="H9" s="178"/>
    </row>
    <row r="10" spans="1:16" ht="19" customHeight="1">
      <c r="B10" s="180"/>
      <c r="C10" s="181"/>
      <c r="D10" s="181"/>
      <c r="E10" s="181"/>
      <c r="F10" s="181"/>
      <c r="G10" s="181"/>
      <c r="H10" s="182"/>
    </row>
    <row r="11" spans="1:16" ht="19" customHeight="1"/>
    <row r="12" spans="1:16" ht="19" customHeight="1" thickBot="1"/>
    <row r="13" spans="1:16" ht="25" customHeight="1" thickBot="1">
      <c r="A13" s="186" t="s">
        <v>189</v>
      </c>
    </row>
    <row r="14" spans="1:16" ht="19" customHeight="1">
      <c r="A14" s="226" t="s">
        <v>251</v>
      </c>
    </row>
    <row r="15" spans="1:16" ht="19" customHeight="1">
      <c r="A15" s="33" t="s">
        <v>45</v>
      </c>
      <c r="B15" s="33">
        <v>0</v>
      </c>
      <c r="C15" s="33">
        <v>1</v>
      </c>
      <c r="D15" s="33">
        <f>C15+1</f>
        <v>2</v>
      </c>
      <c r="E15" s="33">
        <f t="shared" ref="E15:L15" si="0">D15+1</f>
        <v>3</v>
      </c>
      <c r="F15" s="33">
        <f t="shared" si="0"/>
        <v>4</v>
      </c>
      <c r="G15" s="33">
        <f t="shared" si="0"/>
        <v>5</v>
      </c>
      <c r="H15" s="33">
        <f t="shared" si="0"/>
        <v>6</v>
      </c>
      <c r="I15" s="33">
        <f t="shared" si="0"/>
        <v>7</v>
      </c>
      <c r="J15" s="33">
        <f t="shared" si="0"/>
        <v>8</v>
      </c>
      <c r="K15" s="33">
        <f t="shared" si="0"/>
        <v>9</v>
      </c>
      <c r="L15" s="33">
        <f t="shared" si="0"/>
        <v>10</v>
      </c>
    </row>
    <row r="16" spans="1:16" ht="19" customHeight="1">
      <c r="A16" s="187"/>
      <c r="B16" s="50"/>
      <c r="C16" s="50"/>
      <c r="D16" s="50"/>
      <c r="E16" s="50"/>
      <c r="F16" s="50"/>
      <c r="G16" s="50"/>
      <c r="H16" s="50"/>
      <c r="I16" s="50"/>
      <c r="J16" s="50"/>
      <c r="K16" s="50"/>
      <c r="L16" s="50"/>
    </row>
    <row r="17" spans="1:12" ht="19" customHeight="1">
      <c r="A17" s="193" t="s">
        <v>195</v>
      </c>
      <c r="B17" s="188"/>
      <c r="C17" s="188"/>
      <c r="D17" s="188"/>
      <c r="E17" s="188"/>
      <c r="F17" s="188"/>
      <c r="G17" s="188"/>
      <c r="H17" s="188"/>
      <c r="I17" s="188"/>
      <c r="J17" s="188"/>
      <c r="K17" s="188"/>
      <c r="L17" s="188"/>
    </row>
    <row r="18" spans="1:12" ht="19" customHeight="1">
      <c r="A18" s="52"/>
      <c r="B18" s="188"/>
      <c r="C18" s="188"/>
      <c r="D18" s="188"/>
      <c r="E18" s="188"/>
      <c r="F18" s="188"/>
      <c r="G18" s="188"/>
      <c r="H18" s="188"/>
      <c r="I18" s="188"/>
      <c r="J18" s="188"/>
      <c r="K18" s="188"/>
      <c r="L18" s="188"/>
    </row>
    <row r="19" spans="1:12" s="23" customFormat="1" ht="19" customHeight="1">
      <c r="A19" s="58" t="s">
        <v>201</v>
      </c>
      <c r="B19" s="72">
        <f>MEE*'Business plan'!B66</f>
        <v>0</v>
      </c>
      <c r="C19" s="72">
        <f>MEE*'Business plan'!C66/'Business plan'!C72</f>
        <v>-367.63820512820513</v>
      </c>
      <c r="D19" s="72">
        <f>MEE*'Business plan'!D66/'Business plan'!D72</f>
        <v>53.845211661144198</v>
      </c>
      <c r="E19" s="72">
        <f>MEE*'Business plan'!E66/'Business plan'!E72</f>
        <v>428.8588599949324</v>
      </c>
      <c r="F19" s="72">
        <f>MEE*'Business plan'!F66/'Business plan'!F72</f>
        <v>556.44983139702742</v>
      </c>
      <c r="G19" s="72">
        <f>MEE*'Business plan'!G66/'Business plan'!G72</f>
        <v>570.62323601056937</v>
      </c>
      <c r="H19" s="72">
        <f>MEE*'Business plan'!H66/'Business plan'!H72</f>
        <v>584.69713352131214</v>
      </c>
      <c r="I19" s="72">
        <f>MEE*'Business plan'!I66/'Business plan'!I72</f>
        <v>598.68603002233624</v>
      </c>
      <c r="J19" s="72">
        <f>MEE*'Business plan'!J66/'Business plan'!J72</f>
        <v>612.60385331266377</v>
      </c>
      <c r="K19" s="72">
        <f>MEE*'Business plan'!K66/'Business plan'!K72</f>
        <v>626.4639829644882</v>
      </c>
      <c r="L19" s="72">
        <f>MEE*'Business plan'!L66/'Business plan'!L72</f>
        <v>640.27927898640439</v>
      </c>
    </row>
    <row r="20" spans="1:12" s="23" customFormat="1" ht="19" customHeight="1">
      <c r="A20" s="58"/>
      <c r="B20" s="72"/>
      <c r="C20" s="72"/>
      <c r="D20" s="72"/>
      <c r="E20" s="72"/>
      <c r="F20" s="72"/>
      <c r="G20" s="72"/>
      <c r="H20" s="72"/>
      <c r="I20" s="72"/>
      <c r="J20" s="72"/>
      <c r="K20" s="72"/>
      <c r="L20" s="72"/>
    </row>
    <row r="21" spans="1:12" s="23" customFormat="1" ht="19" customHeight="1">
      <c r="A21" s="58" t="s">
        <v>196</v>
      </c>
      <c r="B21" s="72">
        <f>B19</f>
        <v>0</v>
      </c>
      <c r="C21" s="72">
        <f t="shared" ref="C21:L21" si="1">C19</f>
        <v>-367.63820512820513</v>
      </c>
      <c r="D21" s="72">
        <f t="shared" si="1"/>
        <v>53.845211661144198</v>
      </c>
      <c r="E21" s="72">
        <f t="shared" si="1"/>
        <v>428.8588599949324</v>
      </c>
      <c r="F21" s="72">
        <f t="shared" si="1"/>
        <v>556.44983139702742</v>
      </c>
      <c r="G21" s="72">
        <f t="shared" si="1"/>
        <v>570.62323601056937</v>
      </c>
      <c r="H21" s="72">
        <f t="shared" si="1"/>
        <v>584.69713352131214</v>
      </c>
      <c r="I21" s="72">
        <f t="shared" si="1"/>
        <v>598.68603002233624</v>
      </c>
      <c r="J21" s="72">
        <f t="shared" si="1"/>
        <v>612.60385331266377</v>
      </c>
      <c r="K21" s="72">
        <f t="shared" si="1"/>
        <v>626.4639829644882</v>
      </c>
      <c r="L21" s="72">
        <f t="shared" si="1"/>
        <v>640.27927898640439</v>
      </c>
    </row>
    <row r="22" spans="1:12" s="23" customFormat="1" ht="19" customHeight="1">
      <c r="A22" s="58"/>
      <c r="B22" s="72"/>
      <c r="C22" s="72"/>
      <c r="D22" s="72"/>
      <c r="E22" s="72"/>
      <c r="F22" s="72"/>
      <c r="G22" s="72"/>
      <c r="H22" s="72"/>
      <c r="I22" s="72"/>
      <c r="J22" s="72"/>
      <c r="K22" s="72"/>
      <c r="L22" s="72"/>
    </row>
    <row r="23" spans="1:12" s="23" customFormat="1" ht="19" customHeight="1">
      <c r="A23" s="58" t="s">
        <v>198</v>
      </c>
      <c r="B23" s="72">
        <v>0</v>
      </c>
      <c r="C23" s="72">
        <f>MEE*'Business plan'!B97/'Business plan'!C72-Consolidation!B39</f>
        <v>-44.287463715529839</v>
      </c>
      <c r="D23" s="72">
        <f>MEE*'Business plan'!C97/'Business plan'!D72-Consolidation!C39</f>
        <v>-54.770555901189937</v>
      </c>
      <c r="E23" s="72">
        <f>MEE*'Business plan'!D97/'Business plan'!E72-Consolidation!D39</f>
        <v>-59.494242565432842</v>
      </c>
      <c r="F23" s="72">
        <f>MEE*'Business plan'!E97/'Business plan'!F72-Consolidation!E39</f>
        <v>-61.5061760081378</v>
      </c>
      <c r="G23" s="72">
        <f>MEE*'Business plan'!F97/'Business plan'!G72-Consolidation!F39</f>
        <v>-57.149612987136152</v>
      </c>
      <c r="H23" s="72">
        <f>MEE*'Business plan'!G97/'Business plan'!H72-Consolidation!G39</f>
        <v>-53.165409882836684</v>
      </c>
      <c r="I23" s="72">
        <f>MEE*'Business plan'!H97/'Business plan'!I72-Consolidation!H39</f>
        <v>-49.531502496692838</v>
      </c>
      <c r="J23" s="72">
        <f>MEE*'Business plan'!I97/'Business plan'!J72-Consolidation!I39</f>
        <v>-46.227054417758382</v>
      </c>
      <c r="K23" s="72">
        <f>MEE*'Business plan'!J97/'Business plan'!K72-Consolidation!J39</f>
        <v>-43.232392924039686</v>
      </c>
      <c r="L23" s="72">
        <f>MEE*'Business plan'!K97/'Business plan'!L72-Consolidation!K39</f>
        <v>-40.528948119154734</v>
      </c>
    </row>
    <row r="24" spans="1:12" s="23" customFormat="1" ht="19" customHeight="1">
      <c r="A24" s="58"/>
      <c r="B24" s="72"/>
      <c r="C24" s="72"/>
      <c r="D24" s="72"/>
      <c r="E24" s="72"/>
      <c r="F24" s="72"/>
      <c r="G24" s="72"/>
      <c r="H24" s="72"/>
      <c r="I24" s="72"/>
      <c r="J24" s="72"/>
      <c r="K24" s="72"/>
      <c r="L24" s="72"/>
    </row>
    <row r="25" spans="1:12" s="23" customFormat="1" ht="19" customHeight="1">
      <c r="A25" s="58" t="s">
        <v>197</v>
      </c>
      <c r="B25" s="72">
        <f>B21+B23</f>
        <v>0</v>
      </c>
      <c r="C25" s="72">
        <f t="shared" ref="C25:L25" si="2">C21+C23</f>
        <v>-411.92566884373497</v>
      </c>
      <c r="D25" s="72">
        <f t="shared" si="2"/>
        <v>-0.92534424004573879</v>
      </c>
      <c r="E25" s="72">
        <f t="shared" si="2"/>
        <v>369.36461742949956</v>
      </c>
      <c r="F25" s="72">
        <f t="shared" si="2"/>
        <v>494.94365538888962</v>
      </c>
      <c r="G25" s="72">
        <f t="shared" si="2"/>
        <v>513.47362302343322</v>
      </c>
      <c r="H25" s="72">
        <f t="shared" si="2"/>
        <v>531.53172363847546</v>
      </c>
      <c r="I25" s="72">
        <f t="shared" si="2"/>
        <v>549.1545275256434</v>
      </c>
      <c r="J25" s="72">
        <f t="shared" si="2"/>
        <v>566.37679889490539</v>
      </c>
      <c r="K25" s="72">
        <f t="shared" si="2"/>
        <v>583.23159004044851</v>
      </c>
      <c r="L25" s="72">
        <f t="shared" si="2"/>
        <v>599.75033086724966</v>
      </c>
    </row>
    <row r="26" spans="1:12" s="23" customFormat="1" ht="19" customHeight="1">
      <c r="A26" s="62"/>
      <c r="B26" s="73"/>
      <c r="C26" s="73"/>
      <c r="D26" s="73"/>
      <c r="E26" s="73"/>
      <c r="F26" s="73"/>
      <c r="G26" s="73"/>
      <c r="H26" s="73"/>
      <c r="I26" s="73"/>
      <c r="J26" s="73"/>
      <c r="K26" s="73"/>
      <c r="L26" s="73"/>
    </row>
    <row r="27" spans="1:12" s="23" customFormat="1" ht="19" customHeight="1">
      <c r="A27" s="33" t="s">
        <v>45</v>
      </c>
      <c r="B27" s="33">
        <v>0</v>
      </c>
      <c r="C27" s="33">
        <v>1</v>
      </c>
      <c r="D27" s="33">
        <f>C27+1</f>
        <v>2</v>
      </c>
      <c r="E27" s="33">
        <f t="shared" ref="E27" si="3">D27+1</f>
        <v>3</v>
      </c>
      <c r="F27" s="33">
        <f t="shared" ref="F27" si="4">E27+1</f>
        <v>4</v>
      </c>
      <c r="G27" s="33">
        <f t="shared" ref="G27" si="5">F27+1</f>
        <v>5</v>
      </c>
      <c r="H27" s="33">
        <f t="shared" ref="H27" si="6">G27+1</f>
        <v>6</v>
      </c>
      <c r="I27" s="33">
        <f t="shared" ref="I27" si="7">H27+1</f>
        <v>7</v>
      </c>
      <c r="J27" s="33">
        <f t="shared" ref="J27" si="8">I27+1</f>
        <v>8</v>
      </c>
      <c r="K27" s="33">
        <f t="shared" ref="K27" si="9">J27+1</f>
        <v>9</v>
      </c>
      <c r="L27" s="33">
        <f t="shared" ref="L27" si="10">K27+1</f>
        <v>10</v>
      </c>
    </row>
    <row r="28" spans="1:12" s="23" customFormat="1">
      <c r="A28" s="64"/>
      <c r="B28" s="51"/>
      <c r="C28" s="51"/>
      <c r="D28" s="51"/>
      <c r="E28" s="51"/>
      <c r="F28" s="51"/>
      <c r="G28" s="51"/>
      <c r="H28" s="51"/>
      <c r="I28" s="51"/>
      <c r="J28" s="51"/>
      <c r="K28" s="51"/>
      <c r="L28" s="51"/>
    </row>
    <row r="29" spans="1:12" s="23" customFormat="1">
      <c r="A29" s="192" t="s">
        <v>207</v>
      </c>
      <c r="B29" s="72"/>
      <c r="C29" s="72"/>
      <c r="D29" s="72"/>
      <c r="E29" s="72"/>
      <c r="F29" s="72"/>
      <c r="G29" s="72"/>
      <c r="H29" s="72"/>
      <c r="I29" s="72"/>
      <c r="J29" s="72"/>
      <c r="K29" s="72"/>
      <c r="L29" s="72"/>
    </row>
    <row r="30" spans="1:12" s="23" customFormat="1">
      <c r="A30" s="58"/>
      <c r="B30" s="72"/>
      <c r="C30" s="72"/>
      <c r="D30" s="72"/>
      <c r="E30" s="72"/>
      <c r="F30" s="72"/>
      <c r="G30" s="72"/>
      <c r="H30" s="72"/>
      <c r="I30" s="72"/>
      <c r="J30" s="72"/>
      <c r="K30" s="72"/>
      <c r="L30" s="72"/>
    </row>
    <row r="31" spans="1:12" s="23" customFormat="1">
      <c r="A31" s="58" t="s">
        <v>208</v>
      </c>
      <c r="B31" s="72">
        <f>'Business plan'!B74*MEE</f>
        <v>1043.2158119658122</v>
      </c>
      <c r="C31" s="72">
        <f>'Business plan'!C74*MEE</f>
        <v>658.86072921706204</v>
      </c>
      <c r="D31" s="72">
        <f>'Business plan'!D74*MEE</f>
        <v>112.19440788665761</v>
      </c>
      <c r="E31" s="72">
        <f>'Business plan'!E74*MEE</f>
        <v>-321.97240744578471</v>
      </c>
      <c r="F31" s="72">
        <f>'Business plan'!F74*MEE</f>
        <v>-597.56491766137412</v>
      </c>
      <c r="G31" s="72">
        <f>'Business plan'!G74*MEE</f>
        <v>-607.32374059137851</v>
      </c>
      <c r="H31" s="72">
        <f>'Business plan'!H74*MEE</f>
        <v>-617.13043095652597</v>
      </c>
      <c r="I31" s="72">
        <f>'Business plan'!I74*MEE</f>
        <v>-626.99263782943558</v>
      </c>
      <c r="J31" s="72">
        <f>'Business plan'!J74*MEE</f>
        <v>-636.91771408027716</v>
      </c>
      <c r="K31" s="72">
        <f>'Business plan'!K74*MEE</f>
        <v>-646.91273433329388</v>
      </c>
      <c r="L31" s="72">
        <f>'Business plan'!L74*MEE</f>
        <v>-1554.4322198962259</v>
      </c>
    </row>
    <row r="32" spans="1:12" s="23" customFormat="1">
      <c r="A32" s="58"/>
      <c r="B32" s="72"/>
      <c r="C32" s="72"/>
      <c r="D32" s="72"/>
      <c r="E32" s="72"/>
      <c r="F32" s="72"/>
      <c r="G32" s="72"/>
      <c r="H32" s="72"/>
      <c r="I32" s="72"/>
      <c r="J32" s="72"/>
      <c r="K32" s="72"/>
      <c r="L32" s="72"/>
    </row>
    <row r="33" spans="1:12" s="23" customFormat="1">
      <c r="A33" s="58" t="s">
        <v>202</v>
      </c>
      <c r="B33" s="72">
        <f>-B31</f>
        <v>-1043.2158119658122</v>
      </c>
      <c r="C33" s="72">
        <f>-C31</f>
        <v>-658.86072921706204</v>
      </c>
      <c r="D33" s="72">
        <f t="shared" ref="D33:L33" si="11">-D31</f>
        <v>-112.19440788665761</v>
      </c>
      <c r="E33" s="72">
        <f t="shared" si="11"/>
        <v>321.97240744578471</v>
      </c>
      <c r="F33" s="72">
        <f t="shared" si="11"/>
        <v>597.56491766137412</v>
      </c>
      <c r="G33" s="72">
        <f t="shared" si="11"/>
        <v>607.32374059137851</v>
      </c>
      <c r="H33" s="72">
        <f t="shared" si="11"/>
        <v>617.13043095652597</v>
      </c>
      <c r="I33" s="72">
        <f t="shared" si="11"/>
        <v>626.99263782943558</v>
      </c>
      <c r="J33" s="72">
        <f t="shared" si="11"/>
        <v>636.91771408027716</v>
      </c>
      <c r="K33" s="72">
        <f t="shared" si="11"/>
        <v>646.91273433329388</v>
      </c>
      <c r="L33" s="72">
        <f t="shared" si="11"/>
        <v>1554.4322198962259</v>
      </c>
    </row>
    <row r="34" spans="1:12">
      <c r="A34" s="189"/>
      <c r="B34" s="190"/>
      <c r="C34" s="190"/>
      <c r="D34" s="190"/>
      <c r="E34" s="190"/>
      <c r="F34" s="190"/>
      <c r="G34" s="190"/>
      <c r="H34" s="190"/>
      <c r="I34" s="190"/>
      <c r="J34" s="190"/>
      <c r="K34" s="190"/>
      <c r="L34" s="190"/>
    </row>
    <row r="35" spans="1:12">
      <c r="A35" s="33" t="s">
        <v>45</v>
      </c>
      <c r="B35" s="33">
        <v>0</v>
      </c>
      <c r="C35" s="33">
        <v>1</v>
      </c>
      <c r="D35" s="33">
        <f>C35+1</f>
        <v>2</v>
      </c>
      <c r="E35" s="33">
        <f t="shared" ref="E35" si="12">D35+1</f>
        <v>3</v>
      </c>
      <c r="F35" s="33">
        <f t="shared" ref="F35" si="13">E35+1</f>
        <v>4</v>
      </c>
      <c r="G35" s="33">
        <f t="shared" ref="G35" si="14">F35+1</f>
        <v>5</v>
      </c>
      <c r="H35" s="33">
        <f t="shared" ref="H35" si="15">G35+1</f>
        <v>6</v>
      </c>
      <c r="I35" s="33">
        <f t="shared" ref="I35" si="16">H35+1</f>
        <v>7</v>
      </c>
      <c r="J35" s="33">
        <f t="shared" ref="J35" si="17">I35+1</f>
        <v>8</v>
      </c>
      <c r="K35" s="33">
        <f t="shared" ref="K35" si="18">J35+1</f>
        <v>9</v>
      </c>
      <c r="L35" s="33">
        <f t="shared" ref="L35" si="19">K35+1</f>
        <v>10</v>
      </c>
    </row>
    <row r="36" spans="1:12" s="23" customFormat="1" ht="19" customHeight="1">
      <c r="A36" s="64"/>
      <c r="B36" s="51"/>
      <c r="C36" s="51"/>
      <c r="D36" s="51"/>
      <c r="E36" s="51"/>
      <c r="F36" s="51"/>
      <c r="G36" s="51"/>
      <c r="H36" s="51"/>
      <c r="I36" s="51"/>
      <c r="J36" s="51"/>
      <c r="K36" s="51"/>
      <c r="L36" s="51"/>
    </row>
    <row r="37" spans="1:12" s="23" customFormat="1" ht="19" customHeight="1">
      <c r="A37" s="192" t="s">
        <v>199</v>
      </c>
      <c r="B37" s="72"/>
      <c r="C37" s="72" t="s">
        <v>41</v>
      </c>
      <c r="D37" s="72"/>
      <c r="E37" s="72"/>
      <c r="F37" s="72"/>
      <c r="G37" s="72"/>
      <c r="H37" s="72"/>
      <c r="I37" s="72"/>
      <c r="J37" s="72"/>
      <c r="K37" s="72"/>
      <c r="L37" s="72"/>
    </row>
    <row r="38" spans="1:12" s="23" customFormat="1" ht="19" customHeight="1">
      <c r="A38" s="58"/>
      <c r="B38" s="72"/>
      <c r="C38" s="72"/>
      <c r="D38" s="72"/>
      <c r="E38" s="72"/>
      <c r="F38" s="72"/>
      <c r="G38" s="72"/>
      <c r="H38" s="72"/>
      <c r="I38" s="72"/>
      <c r="J38" s="72"/>
      <c r="K38" s="72"/>
      <c r="L38" s="72"/>
    </row>
    <row r="39" spans="1:12" s="23" customFormat="1" ht="19" customHeight="1">
      <c r="A39" s="58" t="s">
        <v>200</v>
      </c>
      <c r="B39" s="72">
        <f>MEE*'Business plan'!B97/'Business plan'!B72</f>
        <v>1043.2158119658122</v>
      </c>
      <c r="C39" s="72">
        <f>MEE*'Business plan'!C97/'Business plan'!C72</f>
        <v>1290.1508723391391</v>
      </c>
      <c r="D39" s="72">
        <f>MEE*'Business plan'!D97/'Business plan'!D72</f>
        <v>1401.419935985751</v>
      </c>
      <c r="E39" s="72">
        <f>MEE*'Business plan'!E97/'Business plan'!E72</f>
        <v>1448.8121459694657</v>
      </c>
      <c r="F39" s="72">
        <f>MEE*'Business plan'!F97/'Business plan'!F72</f>
        <v>1346.1908836969812</v>
      </c>
      <c r="G39" s="72">
        <f>MEE*'Business plan'!G97/'Business plan'!G72</f>
        <v>1252.3407661290362</v>
      </c>
      <c r="H39" s="72">
        <f>MEE*'Business plan'!H97/'Business plan'!H72</f>
        <v>1166.7420588109853</v>
      </c>
      <c r="I39" s="72">
        <f>MEE*'Business plan'!I97/'Business plan'!I72</f>
        <v>1088.9039485071933</v>
      </c>
      <c r="J39" s="72">
        <f>MEE*'Business plan'!J97/'Business plan'!J72</f>
        <v>1018.3630333218214</v>
      </c>
      <c r="K39" s="72">
        <f>MEE*'Business plan'!K97/'Business plan'!K72</f>
        <v>954.681889028976</v>
      </c>
      <c r="L39" s="72">
        <f>MEE*'Business plan'!L97/'Business plan'!L72</f>
        <v>0</v>
      </c>
    </row>
    <row r="40" spans="1:12" s="23" customFormat="1" ht="19" customHeight="1">
      <c r="A40" s="58"/>
      <c r="B40" s="72"/>
      <c r="C40" s="72"/>
      <c r="D40" s="72"/>
      <c r="E40" s="72"/>
      <c r="F40" s="72"/>
      <c r="G40" s="72"/>
      <c r="H40" s="72"/>
      <c r="I40" s="72"/>
      <c r="J40" s="72"/>
      <c r="K40" s="72"/>
      <c r="L40" s="72"/>
    </row>
    <row r="41" spans="1:12" s="23" customFormat="1" ht="19" customHeight="1">
      <c r="A41" s="58" t="s">
        <v>202</v>
      </c>
      <c r="B41" s="72">
        <f>B33</f>
        <v>-1043.2158119658122</v>
      </c>
      <c r="C41" s="72">
        <f>B41+C33</f>
        <v>-1702.0765411828743</v>
      </c>
      <c r="D41" s="72">
        <f t="shared" ref="D41:L41" si="20">C41+D33</f>
        <v>-1814.270949069532</v>
      </c>
      <c r="E41" s="72">
        <f t="shared" si="20"/>
        <v>-1492.2985416237473</v>
      </c>
      <c r="F41" s="72">
        <f t="shared" si="20"/>
        <v>-894.73362396237314</v>
      </c>
      <c r="G41" s="72">
        <f t="shared" si="20"/>
        <v>-287.40988337099463</v>
      </c>
      <c r="H41" s="72">
        <f t="shared" si="20"/>
        <v>329.72054758553134</v>
      </c>
      <c r="I41" s="72">
        <f t="shared" si="20"/>
        <v>956.71318541496692</v>
      </c>
      <c r="J41" s="72">
        <f t="shared" si="20"/>
        <v>1593.6308994952442</v>
      </c>
      <c r="K41" s="72">
        <f t="shared" si="20"/>
        <v>2240.5436338285381</v>
      </c>
      <c r="L41" s="72">
        <f t="shared" si="20"/>
        <v>3794.975853724764</v>
      </c>
    </row>
    <row r="42" spans="1:12" s="23" customFormat="1" ht="19" customHeight="1">
      <c r="A42" s="58"/>
      <c r="B42" s="72"/>
      <c r="C42" s="72"/>
      <c r="D42" s="72"/>
      <c r="E42" s="72"/>
      <c r="F42" s="72"/>
      <c r="G42" s="72"/>
      <c r="H42" s="72"/>
      <c r="I42" s="72"/>
      <c r="J42" s="72"/>
      <c r="K42" s="72"/>
      <c r="L42" s="72"/>
    </row>
    <row r="43" spans="1:12" s="113" customFormat="1" ht="19" customHeight="1">
      <c r="A43" s="60" t="s">
        <v>203</v>
      </c>
      <c r="B43" s="191">
        <f>B39+B41</f>
        <v>0</v>
      </c>
      <c r="C43" s="191">
        <f t="shared" ref="C43" si="21">C39+C41</f>
        <v>-411.92566884373514</v>
      </c>
      <c r="D43" s="191">
        <f t="shared" ref="D43:L43" si="22">D39+D41</f>
        <v>-412.85101308378103</v>
      </c>
      <c r="E43" s="191">
        <f t="shared" si="22"/>
        <v>-43.486395654281523</v>
      </c>
      <c r="F43" s="191">
        <f t="shared" si="22"/>
        <v>451.4572597346081</v>
      </c>
      <c r="G43" s="191">
        <f t="shared" si="22"/>
        <v>964.93088275804155</v>
      </c>
      <c r="H43" s="191">
        <f t="shared" si="22"/>
        <v>1496.4626063965165</v>
      </c>
      <c r="I43" s="191">
        <f t="shared" si="22"/>
        <v>2045.6171339221601</v>
      </c>
      <c r="J43" s="191">
        <f t="shared" si="22"/>
        <v>2611.9939328170658</v>
      </c>
      <c r="K43" s="191">
        <f t="shared" si="22"/>
        <v>3195.2255228575141</v>
      </c>
      <c r="L43" s="191">
        <f t="shared" si="22"/>
        <v>3794.975853724764</v>
      </c>
    </row>
    <row r="44" spans="1:12" s="23" customFormat="1" ht="19" customHeight="1">
      <c r="A44" s="58"/>
      <c r="B44" s="72"/>
      <c r="C44" s="72"/>
      <c r="D44" s="72"/>
      <c r="E44" s="72"/>
      <c r="F44" s="72"/>
      <c r="G44" s="72"/>
      <c r="H44" s="72"/>
      <c r="I44" s="72"/>
      <c r="J44" s="72"/>
      <c r="K44" s="72"/>
      <c r="L44" s="72"/>
    </row>
    <row r="45" spans="1:12" s="23" customFormat="1" ht="19" customHeight="1">
      <c r="A45" s="58" t="s">
        <v>204</v>
      </c>
      <c r="B45" s="72">
        <f>MEE*'Business plan'!B95</f>
        <v>0</v>
      </c>
      <c r="C45" s="72">
        <f>B45+C21</f>
        <v>-367.63820512820513</v>
      </c>
      <c r="D45" s="72">
        <f t="shared" ref="D45:L45" si="23">C45+D21</f>
        <v>-313.79299346706091</v>
      </c>
      <c r="E45" s="72">
        <f t="shared" si="23"/>
        <v>115.06586652787149</v>
      </c>
      <c r="F45" s="72">
        <f t="shared" si="23"/>
        <v>671.51569792489886</v>
      </c>
      <c r="G45" s="72">
        <f t="shared" si="23"/>
        <v>1242.1389339354682</v>
      </c>
      <c r="H45" s="72">
        <f t="shared" si="23"/>
        <v>1826.8360674567803</v>
      </c>
      <c r="I45" s="72">
        <f t="shared" si="23"/>
        <v>2425.5220974791164</v>
      </c>
      <c r="J45" s="72">
        <f t="shared" si="23"/>
        <v>3038.1259507917803</v>
      </c>
      <c r="K45" s="72">
        <f t="shared" si="23"/>
        <v>3664.5899337562687</v>
      </c>
      <c r="L45" s="72">
        <f t="shared" si="23"/>
        <v>4304.869212742673</v>
      </c>
    </row>
    <row r="46" spans="1:12" s="23" customFormat="1" ht="19" customHeight="1">
      <c r="A46" s="58"/>
      <c r="B46" s="72"/>
      <c r="C46" s="72"/>
      <c r="D46" s="72"/>
      <c r="E46" s="72"/>
      <c r="F46" s="72"/>
      <c r="G46" s="72"/>
      <c r="H46" s="72"/>
      <c r="I46" s="72"/>
      <c r="J46" s="72"/>
      <c r="K46" s="72"/>
      <c r="L46" s="72"/>
    </row>
    <row r="47" spans="1:12" s="23" customFormat="1">
      <c r="A47" s="58" t="s">
        <v>205</v>
      </c>
      <c r="B47" s="72">
        <v>0</v>
      </c>
      <c r="C47" s="72">
        <f>B47+C23</f>
        <v>-44.287463715529839</v>
      </c>
      <c r="D47" s="72">
        <f t="shared" ref="D47:L47" si="24">C47+D23</f>
        <v>-99.058019616719776</v>
      </c>
      <c r="E47" s="72">
        <f t="shared" si="24"/>
        <v>-158.55226218215262</v>
      </c>
      <c r="F47" s="72">
        <f t="shared" si="24"/>
        <v>-220.05843819029042</v>
      </c>
      <c r="G47" s="72">
        <f t="shared" si="24"/>
        <v>-277.20805117742657</v>
      </c>
      <c r="H47" s="72">
        <f t="shared" si="24"/>
        <v>-330.37346106026325</v>
      </c>
      <c r="I47" s="72">
        <f t="shared" si="24"/>
        <v>-379.90496355695609</v>
      </c>
      <c r="J47" s="72">
        <f t="shared" si="24"/>
        <v>-426.13201797471447</v>
      </c>
      <c r="K47" s="72">
        <f t="shared" si="24"/>
        <v>-469.36441089875416</v>
      </c>
      <c r="L47" s="72">
        <f t="shared" si="24"/>
        <v>-509.89335901790889</v>
      </c>
    </row>
    <row r="48" spans="1:12" s="23" customFormat="1">
      <c r="A48" s="58"/>
      <c r="B48" s="72"/>
      <c r="C48" s="72"/>
      <c r="D48" s="72"/>
      <c r="E48" s="72"/>
      <c r="F48" s="72"/>
      <c r="G48" s="72"/>
      <c r="H48" s="72"/>
      <c r="I48" s="72"/>
      <c r="J48" s="72"/>
      <c r="K48" s="72"/>
      <c r="L48" s="72"/>
    </row>
    <row r="49" spans="1:13" s="113" customFormat="1">
      <c r="A49" s="60" t="s">
        <v>206</v>
      </c>
      <c r="B49" s="191">
        <f>B45+B47</f>
        <v>0</v>
      </c>
      <c r="C49" s="191">
        <f>C45+C47</f>
        <v>-411.92566884373497</v>
      </c>
      <c r="D49" s="191">
        <f t="shared" ref="D49:L49" si="25">D45+D47</f>
        <v>-412.85101308378069</v>
      </c>
      <c r="E49" s="191">
        <f t="shared" si="25"/>
        <v>-43.486395654281125</v>
      </c>
      <c r="F49" s="191">
        <f t="shared" si="25"/>
        <v>451.45725973460844</v>
      </c>
      <c r="G49" s="191">
        <f t="shared" si="25"/>
        <v>964.93088275804166</v>
      </c>
      <c r="H49" s="191">
        <f t="shared" si="25"/>
        <v>1496.462606396517</v>
      </c>
      <c r="I49" s="191">
        <f t="shared" si="25"/>
        <v>2045.6171339221603</v>
      </c>
      <c r="J49" s="191">
        <f t="shared" si="25"/>
        <v>2611.9939328170658</v>
      </c>
      <c r="K49" s="191">
        <f t="shared" si="25"/>
        <v>3195.2255228575145</v>
      </c>
      <c r="L49" s="191">
        <f t="shared" si="25"/>
        <v>3794.975853724764</v>
      </c>
    </row>
    <row r="50" spans="1:13" s="23" customFormat="1">
      <c r="A50" s="62"/>
      <c r="B50" s="73"/>
      <c r="C50" s="73"/>
      <c r="D50" s="73"/>
      <c r="E50" s="73"/>
      <c r="F50" s="73"/>
      <c r="G50" s="73"/>
      <c r="H50" s="73"/>
      <c r="I50" s="73"/>
      <c r="J50" s="73"/>
      <c r="K50" s="73"/>
      <c r="L50" s="73"/>
    </row>
    <row r="52" spans="1:13" ht="20" thickBot="1"/>
    <row r="53" spans="1:13" ht="22" thickBot="1">
      <c r="A53" s="186" t="s">
        <v>209</v>
      </c>
    </row>
    <row r="54" spans="1:13">
      <c r="A54" s="226" t="s">
        <v>251</v>
      </c>
    </row>
    <row r="55" spans="1:13">
      <c r="A55" s="33" t="s">
        <v>45</v>
      </c>
      <c r="B55" s="33">
        <v>0</v>
      </c>
      <c r="C55" s="33">
        <v>1</v>
      </c>
      <c r="D55" s="33">
        <f>C55+1</f>
        <v>2</v>
      </c>
      <c r="E55" s="33">
        <f t="shared" ref="E55" si="26">D55+1</f>
        <v>3</v>
      </c>
      <c r="F55" s="33">
        <f t="shared" ref="F55" si="27">E55+1</f>
        <v>4</v>
      </c>
      <c r="G55" s="33">
        <f t="shared" ref="G55" si="28">F55+1</f>
        <v>5</v>
      </c>
      <c r="H55" s="33">
        <f t="shared" ref="H55" si="29">G55+1</f>
        <v>6</v>
      </c>
      <c r="I55" s="33">
        <f t="shared" ref="I55" si="30">H55+1</f>
        <v>7</v>
      </c>
      <c r="J55" s="33">
        <f t="shared" ref="J55" si="31">I55+1</f>
        <v>8</v>
      </c>
      <c r="K55" s="33">
        <f t="shared" ref="K55" si="32">J55+1</f>
        <v>9</v>
      </c>
      <c r="L55" s="33">
        <f t="shared" ref="L55" si="33">K55+1</f>
        <v>10</v>
      </c>
    </row>
    <row r="56" spans="1:13">
      <c r="A56" s="187"/>
      <c r="B56" s="50"/>
      <c r="C56" s="50"/>
      <c r="D56" s="50"/>
      <c r="E56" s="50"/>
      <c r="F56" s="50"/>
      <c r="G56" s="50"/>
      <c r="H56" s="50"/>
      <c r="I56" s="50"/>
      <c r="J56" s="50"/>
      <c r="K56" s="50"/>
      <c r="L56" s="50"/>
    </row>
    <row r="57" spans="1:13">
      <c r="A57" s="193" t="s">
        <v>195</v>
      </c>
      <c r="B57" s="188"/>
      <c r="C57" s="188"/>
      <c r="D57" s="188"/>
      <c r="E57" s="188"/>
      <c r="F57" s="188"/>
      <c r="G57" s="188"/>
      <c r="H57" s="188"/>
      <c r="I57" s="188"/>
      <c r="J57" s="188"/>
      <c r="K57" s="188"/>
      <c r="L57" s="188"/>
    </row>
    <row r="58" spans="1:13">
      <c r="A58" s="58"/>
      <c r="B58" s="72"/>
      <c r="C58" s="72"/>
      <c r="D58" s="72"/>
      <c r="E58" s="72"/>
      <c r="F58" s="72"/>
      <c r="G58" s="72"/>
      <c r="H58" s="72"/>
      <c r="I58" s="72"/>
      <c r="J58" s="72"/>
      <c r="K58" s="72"/>
      <c r="L58" s="72"/>
    </row>
    <row r="59" spans="1:13">
      <c r="A59" s="58" t="s">
        <v>196</v>
      </c>
      <c r="B59" s="72">
        <f>'Business plan'!B66/'Business plan'!B72</f>
        <v>0</v>
      </c>
      <c r="C59" s="72">
        <f>'Business plan'!C66/'Business plan'!C72</f>
        <v>-919.09551282051279</v>
      </c>
      <c r="D59" s="72">
        <f>'Business plan'!D66/'Business plan'!D72</f>
        <v>134.61302915286049</v>
      </c>
      <c r="E59" s="72">
        <f>'Business plan'!E66/'Business plan'!E72</f>
        <v>1072.147149987331</v>
      </c>
      <c r="F59" s="72">
        <f>'Business plan'!F66/'Business plan'!F72</f>
        <v>1391.1245784925686</v>
      </c>
      <c r="G59" s="72">
        <f>'Business plan'!G66/'Business plan'!G72</f>
        <v>1426.5580900264235</v>
      </c>
      <c r="H59" s="72">
        <f>'Business plan'!H66/'Business plan'!H72</f>
        <v>1461.7428338032801</v>
      </c>
      <c r="I59" s="72">
        <f>'Business plan'!I66/'Business plan'!I72</f>
        <v>1496.7150750558408</v>
      </c>
      <c r="J59" s="72">
        <f>'Business plan'!J66/'Business plan'!J72</f>
        <v>1531.5096332816595</v>
      </c>
      <c r="K59" s="72">
        <f>'Business plan'!K66/'Business plan'!K72</f>
        <v>1566.1599574112206</v>
      </c>
      <c r="L59" s="72">
        <f>'Business plan'!L66/'Business plan'!L72</f>
        <v>1600.6981974660109</v>
      </c>
    </row>
    <row r="60" spans="1:13">
      <c r="A60" s="58"/>
      <c r="B60" s="72"/>
      <c r="C60" s="72"/>
      <c r="D60" s="72"/>
      <c r="E60" s="72"/>
      <c r="F60" s="72"/>
      <c r="G60" s="72"/>
      <c r="H60" s="72"/>
      <c r="I60" s="72"/>
      <c r="J60" s="72"/>
      <c r="K60" s="72"/>
      <c r="L60" s="72"/>
    </row>
    <row r="61" spans="1:13" s="225" customFormat="1">
      <c r="A61" s="202" t="s">
        <v>198</v>
      </c>
      <c r="B61" s="215">
        <v>0</v>
      </c>
      <c r="C61" s="215">
        <f>'Business plan'!B97/'Business plan'!C72- 'Business plan'!B97/'Business plan'!B72</f>
        <v>-110.71865928882471</v>
      </c>
      <c r="D61" s="215">
        <f>'Business plan'!C97/'Business plan'!D72-Consolidation!C76</f>
        <v>-136.92638975297496</v>
      </c>
      <c r="E61" s="215">
        <f>'Business plan'!D97/'Business plan'!E72-Consolidation!D76</f>
        <v>-148.73560641358245</v>
      </c>
      <c r="F61" s="215">
        <f>'Business plan'!E97/'Business plan'!F72-Consolidation!E76</f>
        <v>-153.76544002034461</v>
      </c>
      <c r="G61" s="215">
        <f>'Business plan'!F97/'Business plan'!G72-Consolidation!F76</f>
        <v>-142.87403246784015</v>
      </c>
      <c r="H61" s="215">
        <f>'Business plan'!G97/'Business plan'!H72-Consolidation!G76</f>
        <v>-132.91352470709126</v>
      </c>
      <c r="I61" s="215">
        <f>'Business plan'!H97/'Business plan'!I72-Consolidation!H76</f>
        <v>-123.82875624173221</v>
      </c>
      <c r="J61" s="215">
        <f>'Business plan'!I97/'Business plan'!J72-Consolidation!I76</f>
        <v>-115.56763604439584</v>
      </c>
      <c r="K61" s="215">
        <f>'Business plan'!J97/'Business plan'!K72-Consolidation!J76</f>
        <v>-108.08098231009944</v>
      </c>
      <c r="L61" s="215">
        <f>'Business plan'!K97/'Business plan'!L72-Consolidation!K76</f>
        <v>-101.32237029788666</v>
      </c>
      <c r="M61" s="224"/>
    </row>
    <row r="62" spans="1:13">
      <c r="A62" s="58"/>
      <c r="B62" s="72"/>
      <c r="C62" s="72"/>
      <c r="D62" s="72"/>
      <c r="E62" s="72"/>
      <c r="F62" s="72"/>
      <c r="G62" s="72"/>
      <c r="H62" s="72"/>
      <c r="I62" s="72"/>
      <c r="J62" s="72"/>
      <c r="K62" s="72"/>
      <c r="L62" s="72"/>
    </row>
    <row r="63" spans="1:13">
      <c r="A63" s="58" t="s">
        <v>197</v>
      </c>
      <c r="B63" s="72">
        <f>B59+B61</f>
        <v>0</v>
      </c>
      <c r="C63" s="72">
        <f t="shared" ref="C63:L63" si="34">C59+C61</f>
        <v>-1029.8141721093375</v>
      </c>
      <c r="D63" s="72">
        <f t="shared" si="34"/>
        <v>-2.3133606001144642</v>
      </c>
      <c r="E63" s="72">
        <f t="shared" si="34"/>
        <v>923.41154357374853</v>
      </c>
      <c r="F63" s="72">
        <f t="shared" si="34"/>
        <v>1237.359138472224</v>
      </c>
      <c r="G63" s="72">
        <f t="shared" si="34"/>
        <v>1283.6840575585834</v>
      </c>
      <c r="H63" s="72">
        <f t="shared" si="34"/>
        <v>1328.8293090961888</v>
      </c>
      <c r="I63" s="72">
        <f t="shared" si="34"/>
        <v>1372.8863188141086</v>
      </c>
      <c r="J63" s="72">
        <f t="shared" si="34"/>
        <v>1415.9419972372636</v>
      </c>
      <c r="K63" s="72">
        <f t="shared" si="34"/>
        <v>1458.0789751011212</v>
      </c>
      <c r="L63" s="72">
        <f t="shared" si="34"/>
        <v>1499.3758271681243</v>
      </c>
    </row>
    <row r="64" spans="1:13">
      <c r="A64" s="62"/>
      <c r="B64" s="73"/>
      <c r="C64" s="73"/>
      <c r="D64" s="73"/>
      <c r="E64" s="73"/>
      <c r="F64" s="73"/>
      <c r="G64" s="73"/>
      <c r="H64" s="73"/>
      <c r="I64" s="73"/>
      <c r="J64" s="73"/>
      <c r="K64" s="73"/>
      <c r="L64" s="73"/>
    </row>
    <row r="65" spans="1:19">
      <c r="A65" s="64"/>
      <c r="B65" s="51"/>
      <c r="C65" s="51"/>
      <c r="D65" s="51"/>
      <c r="E65" s="51"/>
      <c r="F65" s="51"/>
      <c r="G65" s="51"/>
      <c r="H65" s="51"/>
      <c r="I65" s="51"/>
      <c r="J65" s="51"/>
      <c r="K65" s="51"/>
      <c r="L65" s="51"/>
    </row>
    <row r="66" spans="1:19">
      <c r="A66" s="192" t="s">
        <v>207</v>
      </c>
      <c r="B66" s="72"/>
      <c r="C66" s="72"/>
      <c r="D66" s="72"/>
      <c r="E66" s="72"/>
      <c r="F66" s="72"/>
      <c r="G66" s="72"/>
      <c r="H66" s="72"/>
      <c r="I66" s="72"/>
      <c r="J66" s="72"/>
      <c r="K66" s="72"/>
      <c r="L66" s="72"/>
    </row>
    <row r="67" spans="1:19">
      <c r="A67" s="58"/>
      <c r="B67" s="72"/>
      <c r="C67" s="72"/>
      <c r="D67" s="72"/>
      <c r="E67" s="72"/>
      <c r="F67" s="72"/>
      <c r="G67" s="72"/>
      <c r="H67" s="72"/>
      <c r="I67" s="72"/>
      <c r="J67" s="72"/>
      <c r="K67" s="72"/>
      <c r="L67" s="72"/>
    </row>
    <row r="68" spans="1:19">
      <c r="A68" s="58" t="s">
        <v>208</v>
      </c>
      <c r="B68" s="72">
        <f>'Business plan'!B74</f>
        <v>2608.0395299145302</v>
      </c>
      <c r="C68" s="72">
        <f>'Business plan'!C74</f>
        <v>1647.151823042655</v>
      </c>
      <c r="D68" s="72">
        <f>'Business plan'!D74</f>
        <v>280.48601971664402</v>
      </c>
      <c r="E68" s="72">
        <f>'Business plan'!E74</f>
        <v>-804.93101861446178</v>
      </c>
      <c r="F68" s="72">
        <f>'Business plan'!F74</f>
        <v>-1493.9122941534354</v>
      </c>
      <c r="G68" s="72">
        <f>'Business plan'!G74</f>
        <v>-1518.3093514784462</v>
      </c>
      <c r="H68" s="72">
        <f>'Business plan'!H74</f>
        <v>-1542.8260773913148</v>
      </c>
      <c r="I68" s="72">
        <f>'Business plan'!I74</f>
        <v>-1567.4815945735888</v>
      </c>
      <c r="J68" s="72">
        <f>'Business plan'!J74</f>
        <v>-1592.2942852006929</v>
      </c>
      <c r="K68" s="72">
        <f>'Business plan'!K74</f>
        <v>-1617.2818358332347</v>
      </c>
      <c r="L68" s="72">
        <f>'Business plan'!L74</f>
        <v>-3886.0805497405645</v>
      </c>
    </row>
    <row r="69" spans="1:19">
      <c r="A69" s="58"/>
      <c r="B69" s="72"/>
      <c r="C69" s="72"/>
      <c r="D69" s="72"/>
      <c r="E69" s="72"/>
      <c r="F69" s="72"/>
      <c r="G69" s="72"/>
      <c r="H69" s="72"/>
      <c r="I69" s="72"/>
      <c r="J69" s="72"/>
      <c r="K69" s="72"/>
      <c r="L69" s="72"/>
    </row>
    <row r="70" spans="1:19">
      <c r="A70" s="58" t="s">
        <v>202</v>
      </c>
      <c r="B70" s="72">
        <f>-B68</f>
        <v>-2608.0395299145302</v>
      </c>
      <c r="C70" s="72">
        <f>-C68</f>
        <v>-1647.151823042655</v>
      </c>
      <c r="D70" s="72">
        <f t="shared" ref="D70:L70" si="35">-D68</f>
        <v>-280.48601971664402</v>
      </c>
      <c r="E70" s="72">
        <f t="shared" si="35"/>
        <v>804.93101861446178</v>
      </c>
      <c r="F70" s="72">
        <f t="shared" si="35"/>
        <v>1493.9122941534354</v>
      </c>
      <c r="G70" s="72">
        <f t="shared" si="35"/>
        <v>1518.3093514784462</v>
      </c>
      <c r="H70" s="72">
        <f t="shared" si="35"/>
        <v>1542.8260773913148</v>
      </c>
      <c r="I70" s="72">
        <f t="shared" si="35"/>
        <v>1567.4815945735888</v>
      </c>
      <c r="J70" s="72">
        <f t="shared" si="35"/>
        <v>1592.2942852006929</v>
      </c>
      <c r="K70" s="72">
        <f t="shared" si="35"/>
        <v>1617.2818358332347</v>
      </c>
      <c r="L70" s="72">
        <f t="shared" si="35"/>
        <v>3886.0805497405645</v>
      </c>
    </row>
    <row r="71" spans="1:19">
      <c r="A71" s="189"/>
      <c r="B71" s="190"/>
      <c r="C71" s="190"/>
      <c r="D71" s="190"/>
      <c r="E71" s="190"/>
      <c r="F71" s="190"/>
      <c r="G71" s="190"/>
      <c r="H71" s="190"/>
      <c r="I71" s="190"/>
      <c r="J71" s="190"/>
      <c r="K71" s="190"/>
      <c r="L71" s="190"/>
    </row>
    <row r="72" spans="1:19">
      <c r="A72" s="33" t="s">
        <v>45</v>
      </c>
      <c r="B72" s="33">
        <v>0</v>
      </c>
      <c r="C72" s="33">
        <v>1</v>
      </c>
      <c r="D72" s="33">
        <f>C72+1</f>
        <v>2</v>
      </c>
      <c r="E72" s="33">
        <f t="shared" ref="E72" si="36">D72+1</f>
        <v>3</v>
      </c>
      <c r="F72" s="33">
        <f t="shared" ref="F72" si="37">E72+1</f>
        <v>4</v>
      </c>
      <c r="G72" s="33">
        <f t="shared" ref="G72" si="38">F72+1</f>
        <v>5</v>
      </c>
      <c r="H72" s="33">
        <f t="shared" ref="H72" si="39">G72+1</f>
        <v>6</v>
      </c>
      <c r="I72" s="33">
        <f t="shared" ref="I72" si="40">H72+1</f>
        <v>7</v>
      </c>
      <c r="J72" s="33">
        <f t="shared" ref="J72" si="41">I72+1</f>
        <v>8</v>
      </c>
      <c r="K72" s="33">
        <f t="shared" ref="K72" si="42">J72+1</f>
        <v>9</v>
      </c>
      <c r="L72" s="33">
        <f t="shared" ref="L72" si="43">K72+1</f>
        <v>10</v>
      </c>
    </row>
    <row r="73" spans="1:19">
      <c r="A73" s="64"/>
      <c r="B73" s="51"/>
      <c r="C73" s="51"/>
      <c r="D73" s="51"/>
      <c r="E73" s="51"/>
      <c r="F73" s="51"/>
      <c r="G73" s="51"/>
      <c r="H73" s="51"/>
      <c r="I73" s="51"/>
      <c r="J73" s="51"/>
      <c r="K73" s="51"/>
      <c r="L73" s="51"/>
    </row>
    <row r="74" spans="1:19">
      <c r="A74" s="192" t="s">
        <v>199</v>
      </c>
      <c r="B74" s="72"/>
      <c r="C74" s="72" t="s">
        <v>41</v>
      </c>
      <c r="D74" s="72"/>
      <c r="E74" s="72"/>
      <c r="F74" s="72"/>
      <c r="G74" s="72"/>
      <c r="H74" s="72"/>
      <c r="I74" s="72"/>
      <c r="J74" s="72"/>
      <c r="K74" s="72"/>
      <c r="L74" s="72"/>
    </row>
    <row r="75" spans="1:19">
      <c r="A75" s="58"/>
      <c r="B75" s="72"/>
      <c r="C75" s="72"/>
      <c r="D75" s="72"/>
      <c r="E75" s="72"/>
      <c r="F75" s="72"/>
      <c r="G75" s="72"/>
      <c r="H75" s="72"/>
      <c r="I75" s="72"/>
      <c r="J75" s="72"/>
      <c r="K75" s="72"/>
      <c r="L75" s="72"/>
    </row>
    <row r="76" spans="1:19">
      <c r="A76" s="58" t="s">
        <v>210</v>
      </c>
      <c r="B76" s="72">
        <f>'Business plan'!B97/'Business plan'!B72</f>
        <v>2608.0395299145302</v>
      </c>
      <c r="C76" s="72">
        <f>'Business plan'!C97/'Business plan'!C72</f>
        <v>3225.3771808478473</v>
      </c>
      <c r="D76" s="72">
        <f>'Business plan'!D97/'Business plan'!D72</f>
        <v>3503.5498399643775</v>
      </c>
      <c r="E76" s="72">
        <f>'Business plan'!E97/'Business plan'!E72</f>
        <v>3622.0303649236644</v>
      </c>
      <c r="F76" s="72">
        <f>'Business plan'!F97/'Business plan'!F72</f>
        <v>3365.4772092424528</v>
      </c>
      <c r="G76" s="72">
        <f>'Business plan'!G97/'Business plan'!G72</f>
        <v>3130.8519153225898</v>
      </c>
      <c r="H76" s="72">
        <f>'Business plan'!H97/'Business plan'!H72</f>
        <v>2916.8551470274638</v>
      </c>
      <c r="I76" s="72">
        <f>'Business plan'!I97/'Business plan'!I72</f>
        <v>2722.2598712679828</v>
      </c>
      <c r="J76" s="72">
        <f>'Business plan'!J97/'Business plan'!J72</f>
        <v>2545.9075833045536</v>
      </c>
      <c r="K76" s="72">
        <f>'Business plan'!K97/'Business plan'!K72</f>
        <v>2386.70472257244</v>
      </c>
      <c r="L76" s="72">
        <f>'Business plan'!L97/'Business plan'!L72</f>
        <v>0</v>
      </c>
      <c r="M76" s="23"/>
      <c r="N76" s="23"/>
      <c r="O76" s="23"/>
      <c r="P76" s="23"/>
      <c r="Q76" s="23"/>
      <c r="R76" s="23"/>
      <c r="S76" s="23"/>
    </row>
    <row r="77" spans="1:19">
      <c r="A77" s="58"/>
      <c r="B77" s="72"/>
      <c r="C77" s="72"/>
      <c r="D77" s="72"/>
      <c r="E77" s="72"/>
      <c r="F77" s="72"/>
      <c r="G77" s="72"/>
      <c r="H77" s="72"/>
      <c r="I77" s="72"/>
      <c r="J77" s="72"/>
      <c r="K77" s="72"/>
      <c r="L77" s="72"/>
    </row>
    <row r="78" spans="1:19">
      <c r="A78" s="58" t="s">
        <v>202</v>
      </c>
      <c r="B78" s="72">
        <f>B70</f>
        <v>-2608.0395299145302</v>
      </c>
      <c r="C78" s="72">
        <f t="shared" ref="C78:H78" si="44">B78+C70</f>
        <v>-4255.1913529571848</v>
      </c>
      <c r="D78" s="72">
        <f t="shared" si="44"/>
        <v>-4535.6773726738284</v>
      </c>
      <c r="E78" s="72">
        <f t="shared" si="44"/>
        <v>-3730.7463540593667</v>
      </c>
      <c r="F78" s="72">
        <f t="shared" si="44"/>
        <v>-2236.8340599059311</v>
      </c>
      <c r="G78" s="72">
        <f t="shared" si="44"/>
        <v>-718.52470842748494</v>
      </c>
      <c r="H78" s="72">
        <f t="shared" si="44"/>
        <v>824.30136896382987</v>
      </c>
      <c r="I78" s="72">
        <f t="shared" ref="I78:L78" si="45">H78+I70</f>
        <v>2391.7829635374187</v>
      </c>
      <c r="J78" s="72">
        <f t="shared" si="45"/>
        <v>3984.0772487381118</v>
      </c>
      <c r="K78" s="72">
        <f t="shared" si="45"/>
        <v>5601.3590845713461</v>
      </c>
      <c r="L78" s="72">
        <f t="shared" si="45"/>
        <v>9487.4396343119115</v>
      </c>
    </row>
    <row r="79" spans="1:19">
      <c r="A79" s="58"/>
      <c r="B79" s="72"/>
      <c r="C79" s="72"/>
      <c r="D79" s="72"/>
      <c r="E79" s="72"/>
      <c r="F79" s="72"/>
      <c r="G79" s="72"/>
      <c r="H79" s="72"/>
      <c r="I79" s="72"/>
      <c r="J79" s="72"/>
      <c r="K79" s="72"/>
      <c r="L79" s="72"/>
    </row>
    <row r="80" spans="1:19">
      <c r="A80" s="60" t="s">
        <v>203</v>
      </c>
      <c r="B80" s="191">
        <f>B76+B78</f>
        <v>0</v>
      </c>
      <c r="C80" s="191">
        <f>C76+C78</f>
        <v>-1029.8141721093375</v>
      </c>
      <c r="D80" s="191">
        <f t="shared" ref="D80:L80" si="46">D76+D78</f>
        <v>-1032.1275327094509</v>
      </c>
      <c r="E80" s="191">
        <f t="shared" si="46"/>
        <v>-108.71598913570233</v>
      </c>
      <c r="F80" s="191">
        <f t="shared" si="46"/>
        <v>1128.6431493365217</v>
      </c>
      <c r="G80" s="191">
        <f t="shared" si="46"/>
        <v>2412.3272068951046</v>
      </c>
      <c r="H80" s="191">
        <f t="shared" si="46"/>
        <v>3741.1565159912934</v>
      </c>
      <c r="I80" s="191">
        <f t="shared" si="46"/>
        <v>5114.0428348054011</v>
      </c>
      <c r="J80" s="191">
        <f t="shared" si="46"/>
        <v>6529.9848320426654</v>
      </c>
      <c r="K80" s="191">
        <f t="shared" si="46"/>
        <v>7988.0638071437861</v>
      </c>
      <c r="L80" s="191">
        <f t="shared" si="46"/>
        <v>9487.4396343119115</v>
      </c>
    </row>
    <row r="81" spans="1:12">
      <c r="A81" s="58"/>
      <c r="B81" s="72"/>
      <c r="C81" s="72"/>
      <c r="D81" s="72"/>
      <c r="E81" s="72"/>
      <c r="F81" s="72"/>
      <c r="G81" s="72"/>
      <c r="H81" s="72"/>
      <c r="I81" s="72"/>
      <c r="J81" s="72"/>
      <c r="K81" s="72"/>
      <c r="L81" s="72"/>
    </row>
    <row r="82" spans="1:12">
      <c r="A82" s="58" t="s">
        <v>204</v>
      </c>
      <c r="B82" s="72">
        <v>0</v>
      </c>
      <c r="C82" s="72">
        <f>B82+C59</f>
        <v>-919.09551282051279</v>
      </c>
      <c r="D82" s="72">
        <f>C82+D59</f>
        <v>-784.48248366765233</v>
      </c>
      <c r="E82" s="72">
        <f t="shared" ref="E82:K82" si="47">D82+E59</f>
        <v>287.66466631967864</v>
      </c>
      <c r="F82" s="72">
        <f t="shared" si="47"/>
        <v>1678.7892448122473</v>
      </c>
      <c r="G82" s="72">
        <f t="shared" si="47"/>
        <v>3105.3473348386706</v>
      </c>
      <c r="H82" s="72">
        <f t="shared" si="47"/>
        <v>4567.0901686419511</v>
      </c>
      <c r="I82" s="72">
        <f t="shared" si="47"/>
        <v>6063.8052436977923</v>
      </c>
      <c r="J82" s="72">
        <f t="shared" si="47"/>
        <v>7595.3148769794516</v>
      </c>
      <c r="K82" s="72">
        <f t="shared" si="47"/>
        <v>9161.4748343906722</v>
      </c>
      <c r="L82" s="72">
        <f>K82+L59</f>
        <v>10762.173031856682</v>
      </c>
    </row>
    <row r="83" spans="1:12">
      <c r="A83" s="58"/>
      <c r="B83" s="72"/>
      <c r="C83" s="72"/>
      <c r="D83" s="72"/>
      <c r="E83" s="72"/>
      <c r="F83" s="72"/>
      <c r="G83" s="72"/>
      <c r="H83" s="72"/>
      <c r="I83" s="72"/>
      <c r="J83" s="72"/>
      <c r="K83" s="72"/>
      <c r="L83" s="72"/>
    </row>
    <row r="84" spans="1:12">
      <c r="A84" s="58" t="s">
        <v>205</v>
      </c>
      <c r="B84" s="72">
        <v>0</v>
      </c>
      <c r="C84" s="72">
        <f>B84+C61</f>
        <v>-110.71865928882471</v>
      </c>
      <c r="D84" s="72">
        <f t="shared" ref="D84:L84" si="48">C84+D61</f>
        <v>-247.64504904179967</v>
      </c>
      <c r="E84" s="72">
        <f t="shared" si="48"/>
        <v>-396.38065545538211</v>
      </c>
      <c r="F84" s="72">
        <f t="shared" si="48"/>
        <v>-550.14609547572672</v>
      </c>
      <c r="G84" s="72">
        <f t="shared" si="48"/>
        <v>-693.02012794356688</v>
      </c>
      <c r="H84" s="72">
        <f t="shared" si="48"/>
        <v>-825.93365265065813</v>
      </c>
      <c r="I84" s="72">
        <f t="shared" si="48"/>
        <v>-949.76240889239034</v>
      </c>
      <c r="J84" s="72">
        <f t="shared" si="48"/>
        <v>-1065.3300449367862</v>
      </c>
      <c r="K84" s="72">
        <f t="shared" si="48"/>
        <v>-1173.4110272468856</v>
      </c>
      <c r="L84" s="72">
        <f t="shared" si="48"/>
        <v>-1274.7333975447723</v>
      </c>
    </row>
    <row r="85" spans="1:12">
      <c r="A85" s="58"/>
      <c r="B85" s="72"/>
      <c r="C85" s="72"/>
      <c r="D85" s="72"/>
      <c r="E85" s="72"/>
      <c r="F85" s="72"/>
      <c r="G85" s="72"/>
      <c r="H85" s="72"/>
      <c r="I85" s="72"/>
      <c r="J85" s="72"/>
      <c r="K85" s="72"/>
      <c r="L85" s="72"/>
    </row>
    <row r="86" spans="1:12">
      <c r="A86" s="60" t="s">
        <v>206</v>
      </c>
      <c r="B86" s="191">
        <f>B82+B84</f>
        <v>0</v>
      </c>
      <c r="C86" s="191">
        <f>C82+C84</f>
        <v>-1029.8141721093375</v>
      </c>
      <c r="D86" s="191">
        <f t="shared" ref="D86:L86" si="49">D82+D84</f>
        <v>-1032.127532709452</v>
      </c>
      <c r="E86" s="191">
        <f t="shared" si="49"/>
        <v>-108.71598913570347</v>
      </c>
      <c r="F86" s="191">
        <f t="shared" si="49"/>
        <v>1128.6431493365205</v>
      </c>
      <c r="G86" s="191">
        <f t="shared" si="49"/>
        <v>2412.3272068951037</v>
      </c>
      <c r="H86" s="191">
        <f t="shared" si="49"/>
        <v>3741.156515991293</v>
      </c>
      <c r="I86" s="191">
        <f t="shared" si="49"/>
        <v>5114.042834805402</v>
      </c>
      <c r="J86" s="191">
        <f t="shared" si="49"/>
        <v>6529.9848320426654</v>
      </c>
      <c r="K86" s="191">
        <f t="shared" si="49"/>
        <v>7988.0638071437861</v>
      </c>
      <c r="L86" s="191">
        <f t="shared" si="49"/>
        <v>9487.4396343119097</v>
      </c>
    </row>
    <row r="87" spans="1:12">
      <c r="A87" s="62"/>
      <c r="B87" s="73"/>
      <c r="C87" s="73"/>
      <c r="D87" s="73"/>
      <c r="E87" s="73"/>
      <c r="F87" s="73"/>
      <c r="G87" s="73"/>
      <c r="H87" s="73"/>
      <c r="I87" s="73"/>
      <c r="J87" s="73"/>
      <c r="K87" s="73"/>
      <c r="L87" s="73"/>
    </row>
    <row r="89" spans="1:12" ht="20" thickBot="1"/>
    <row r="90" spans="1:12" ht="22" thickBot="1">
      <c r="A90" s="186" t="s">
        <v>211</v>
      </c>
    </row>
    <row r="91" spans="1:12">
      <c r="A91" s="226" t="s">
        <v>251</v>
      </c>
    </row>
    <row r="92" spans="1:12">
      <c r="A92" s="33" t="s">
        <v>45</v>
      </c>
      <c r="B92" s="33">
        <v>0</v>
      </c>
      <c r="C92" s="33">
        <v>1</v>
      </c>
      <c r="D92" s="33">
        <f>C92+1</f>
        <v>2</v>
      </c>
      <c r="E92" s="33">
        <f t="shared" ref="E92" si="50">D92+1</f>
        <v>3</v>
      </c>
      <c r="F92" s="33">
        <f t="shared" ref="F92" si="51">E92+1</f>
        <v>4</v>
      </c>
      <c r="G92" s="33">
        <f t="shared" ref="G92" si="52">F92+1</f>
        <v>5</v>
      </c>
      <c r="H92" s="33">
        <f t="shared" ref="H92" si="53">G92+1</f>
        <v>6</v>
      </c>
      <c r="I92" s="33">
        <f t="shared" ref="I92" si="54">H92+1</f>
        <v>7</v>
      </c>
      <c r="J92" s="33">
        <f t="shared" ref="J92" si="55">I92+1</f>
        <v>8</v>
      </c>
      <c r="K92" s="33">
        <f t="shared" ref="K92" si="56">J92+1</f>
        <v>9</v>
      </c>
      <c r="L92" s="33">
        <f t="shared" ref="L92" si="57">K92+1</f>
        <v>10</v>
      </c>
    </row>
    <row r="93" spans="1:12">
      <c r="A93" s="187"/>
      <c r="B93" s="50"/>
      <c r="C93" s="50"/>
      <c r="D93" s="50"/>
      <c r="E93" s="50"/>
      <c r="F93" s="50"/>
      <c r="G93" s="50"/>
      <c r="H93" s="50"/>
      <c r="I93" s="50"/>
      <c r="J93" s="50"/>
      <c r="K93" s="50"/>
      <c r="L93" s="50"/>
    </row>
    <row r="94" spans="1:12">
      <c r="A94" s="193" t="s">
        <v>195</v>
      </c>
      <c r="B94" s="188"/>
      <c r="C94" s="188"/>
      <c r="D94" s="188"/>
      <c r="E94" s="188"/>
      <c r="F94" s="188"/>
      <c r="G94" s="188"/>
      <c r="H94" s="188"/>
      <c r="I94" s="188"/>
      <c r="J94" s="188"/>
      <c r="K94" s="188"/>
      <c r="L94" s="188"/>
    </row>
    <row r="95" spans="1:12">
      <c r="A95" s="58"/>
      <c r="B95" s="72"/>
      <c r="C95" s="72"/>
      <c r="D95" s="72"/>
      <c r="E95" s="72"/>
      <c r="F95" s="72"/>
      <c r="G95" s="72"/>
      <c r="H95" s="72"/>
      <c r="I95" s="72"/>
      <c r="J95" s="72"/>
      <c r="K95" s="72"/>
      <c r="L95" s="72"/>
    </row>
    <row r="96" spans="1:12">
      <c r="A96" s="58" t="s">
        <v>212</v>
      </c>
      <c r="B96" s="72">
        <f>'Business plan'!B66/'Business plan'!B72</f>
        <v>0</v>
      </c>
      <c r="C96" s="72">
        <f>'Business plan'!C66/'Business plan'!C72</f>
        <v>-919.09551282051279</v>
      </c>
      <c r="D96" s="72">
        <f>'Business plan'!D66/'Business plan'!D72</f>
        <v>134.61302915286049</v>
      </c>
      <c r="E96" s="72">
        <f>'Business plan'!E66/'Business plan'!E72</f>
        <v>1072.147149987331</v>
      </c>
      <c r="F96" s="72">
        <f>'Business plan'!F66/'Business plan'!F72</f>
        <v>1391.1245784925686</v>
      </c>
      <c r="G96" s="72">
        <f>'Business plan'!G66/'Business plan'!G72</f>
        <v>1426.5580900264235</v>
      </c>
      <c r="H96" s="72">
        <f>'Business plan'!H66/'Business plan'!H72</f>
        <v>1461.7428338032801</v>
      </c>
      <c r="I96" s="72">
        <f>'Business plan'!I66/'Business plan'!I72</f>
        <v>1496.7150750558408</v>
      </c>
      <c r="J96" s="72">
        <f>'Business plan'!J66/'Business plan'!J72</f>
        <v>1531.5096332816595</v>
      </c>
      <c r="K96" s="72">
        <f>'Business plan'!K66/'Business plan'!K72</f>
        <v>1566.1599574112206</v>
      </c>
      <c r="L96" s="72">
        <f>'Business plan'!L66/'Business plan'!L72</f>
        <v>1600.6981974660109</v>
      </c>
    </row>
    <row r="97" spans="1:12">
      <c r="A97" s="58"/>
      <c r="B97" s="72"/>
      <c r="C97" s="72"/>
      <c r="D97" s="72"/>
      <c r="E97" s="72"/>
      <c r="F97" s="72"/>
      <c r="G97" s="72"/>
      <c r="H97" s="72"/>
      <c r="I97" s="72"/>
      <c r="J97" s="72"/>
      <c r="K97" s="72"/>
      <c r="L97" s="72"/>
    </row>
    <row r="98" spans="1:12">
      <c r="A98" s="68" t="s">
        <v>213</v>
      </c>
      <c r="B98" s="72">
        <f>B96-B99</f>
        <v>0</v>
      </c>
      <c r="C98" s="72">
        <f t="shared" ref="C98:L98" si="58">C96-C99</f>
        <v>-183.81910256410254</v>
      </c>
      <c r="D98" s="72">
        <f t="shared" si="58"/>
        <v>26.922605830572095</v>
      </c>
      <c r="E98" s="72">
        <f t="shared" si="58"/>
        <v>214.42942999746617</v>
      </c>
      <c r="F98" s="72">
        <f t="shared" si="58"/>
        <v>278.22491569851377</v>
      </c>
      <c r="G98" s="72">
        <f t="shared" si="58"/>
        <v>285.31161800528457</v>
      </c>
      <c r="H98" s="72">
        <f t="shared" si="58"/>
        <v>292.34856676065601</v>
      </c>
      <c r="I98" s="72">
        <f t="shared" si="58"/>
        <v>299.34301501116806</v>
      </c>
      <c r="J98" s="72">
        <f t="shared" si="58"/>
        <v>306.30192665633194</v>
      </c>
      <c r="K98" s="72">
        <f t="shared" si="58"/>
        <v>313.23199148224398</v>
      </c>
      <c r="L98" s="72">
        <f t="shared" si="58"/>
        <v>320.13963949320214</v>
      </c>
    </row>
    <row r="99" spans="1:12">
      <c r="A99" s="68" t="s">
        <v>214</v>
      </c>
      <c r="B99" s="72">
        <f t="shared" ref="B99:L99" si="59">B96*INTGIM</f>
        <v>0</v>
      </c>
      <c r="C99" s="72">
        <f>C96*INTGIM</f>
        <v>-735.27641025641026</v>
      </c>
      <c r="D99" s="72">
        <f t="shared" si="59"/>
        <v>107.6904233222884</v>
      </c>
      <c r="E99" s="72">
        <f t="shared" si="59"/>
        <v>857.7177199898648</v>
      </c>
      <c r="F99" s="72">
        <f t="shared" si="59"/>
        <v>1112.8996627940548</v>
      </c>
      <c r="G99" s="72">
        <f t="shared" si="59"/>
        <v>1141.246472021139</v>
      </c>
      <c r="H99" s="72">
        <f t="shared" si="59"/>
        <v>1169.3942670426241</v>
      </c>
      <c r="I99" s="72">
        <f t="shared" si="59"/>
        <v>1197.3720600446727</v>
      </c>
      <c r="J99" s="72">
        <f t="shared" si="59"/>
        <v>1225.2077066253275</v>
      </c>
      <c r="K99" s="72">
        <f t="shared" si="59"/>
        <v>1252.9279659289766</v>
      </c>
      <c r="L99" s="72">
        <f t="shared" si="59"/>
        <v>1280.5585579728088</v>
      </c>
    </row>
    <row r="100" spans="1:12">
      <c r="A100" s="58"/>
      <c r="B100" s="72"/>
      <c r="C100" s="72"/>
      <c r="D100" s="72"/>
      <c r="E100" s="72"/>
      <c r="F100" s="72"/>
      <c r="G100" s="72"/>
      <c r="H100" s="72"/>
      <c r="I100" s="72"/>
      <c r="J100" s="72"/>
      <c r="K100" s="72"/>
      <c r="L100" s="72"/>
    </row>
    <row r="101" spans="1:12">
      <c r="A101" s="58" t="s">
        <v>198</v>
      </c>
      <c r="B101" s="72">
        <v>0</v>
      </c>
      <c r="C101" s="72">
        <f>('Business plan'!B97/'Business plan'!C72-Consolidation!B116)*INTGIM</f>
        <v>-88.574927431059777</v>
      </c>
      <c r="D101" s="72">
        <f>('Business plan'!C97/'Business plan'!D72-Consolidation!C116)*INTGIM</f>
        <v>-109.54111180237997</v>
      </c>
      <c r="E101" s="72">
        <f>('Business plan'!D97/'Business plan'!E72-Consolidation!D116)*INTGIM</f>
        <v>-118.98848513086597</v>
      </c>
      <c r="F101" s="72">
        <f>('Business plan'!E97/'Business plan'!F72-Consolidation!E116)*INTGIM</f>
        <v>-123.0123520162757</v>
      </c>
      <c r="G101" s="72">
        <f>('Business plan'!F97/'Business plan'!G72-Consolidation!F116)*INTGIM</f>
        <v>-114.29922597427213</v>
      </c>
      <c r="H101" s="72">
        <f>('Business plan'!G97/'Business plan'!H72-Consolidation!G116)*INTGIM</f>
        <v>-106.33081976567301</v>
      </c>
      <c r="I101" s="72">
        <f>('Business plan'!H97/'Business plan'!I72-Consolidation!H116)*INTGIM</f>
        <v>-99.063004993385775</v>
      </c>
      <c r="J101" s="72">
        <f>('Business plan'!I97/'Business plan'!J72-Consolidation!I116)*INTGIM</f>
        <v>-92.454108835516678</v>
      </c>
      <c r="K101" s="72">
        <f>('Business plan'!J97/'Business plan'!K72-Consolidation!J116)*INTGIM</f>
        <v>-86.464785848079558</v>
      </c>
      <c r="L101" s="72">
        <f>('Business plan'!K97/'Business plan'!L72-Consolidation!K116)*INTGIM</f>
        <v>-81.05789623830934</v>
      </c>
    </row>
    <row r="102" spans="1:12">
      <c r="A102" s="58"/>
      <c r="B102" s="72"/>
      <c r="C102" s="72"/>
      <c r="D102" s="72"/>
      <c r="E102" s="72"/>
      <c r="F102" s="72"/>
      <c r="G102" s="72"/>
      <c r="H102" s="72"/>
      <c r="I102" s="72"/>
      <c r="J102" s="72"/>
      <c r="K102" s="72"/>
      <c r="L102" s="72"/>
    </row>
    <row r="103" spans="1:12">
      <c r="A103" s="58" t="s">
        <v>197</v>
      </c>
      <c r="B103" s="72">
        <f t="shared" ref="B103:L103" si="60">B96+B101</f>
        <v>0</v>
      </c>
      <c r="C103" s="72">
        <f>C96+C101</f>
        <v>-1007.6704402515726</v>
      </c>
      <c r="D103" s="72">
        <f t="shared" si="60"/>
        <v>25.071917350480518</v>
      </c>
      <c r="E103" s="72">
        <f t="shared" si="60"/>
        <v>953.15866485646507</v>
      </c>
      <c r="F103" s="72">
        <f t="shared" si="60"/>
        <v>1268.112226476293</v>
      </c>
      <c r="G103" s="72">
        <f t="shared" si="60"/>
        <v>1312.2588640521515</v>
      </c>
      <c r="H103" s="72">
        <f t="shared" si="60"/>
        <v>1355.4120140376072</v>
      </c>
      <c r="I103" s="72">
        <f t="shared" si="60"/>
        <v>1397.6520700624551</v>
      </c>
      <c r="J103" s="72">
        <f t="shared" si="60"/>
        <v>1439.0555244461427</v>
      </c>
      <c r="K103" s="72">
        <f t="shared" si="60"/>
        <v>1479.695171563141</v>
      </c>
      <c r="L103" s="72">
        <f t="shared" si="60"/>
        <v>1519.6403012277017</v>
      </c>
    </row>
    <row r="104" spans="1:12">
      <c r="A104" s="62"/>
      <c r="B104" s="73"/>
      <c r="C104" s="73"/>
      <c r="D104" s="73"/>
      <c r="E104" s="73"/>
      <c r="F104" s="73"/>
      <c r="G104" s="73"/>
      <c r="H104" s="73"/>
      <c r="I104" s="73"/>
      <c r="J104" s="73"/>
      <c r="K104" s="73"/>
      <c r="L104" s="73"/>
    </row>
    <row r="105" spans="1:12">
      <c r="A105" s="64"/>
      <c r="B105" s="51"/>
      <c r="C105" s="51"/>
      <c r="D105" s="51"/>
      <c r="E105" s="51"/>
      <c r="F105" s="51"/>
      <c r="G105" s="51"/>
      <c r="H105" s="51"/>
      <c r="I105" s="51"/>
      <c r="J105" s="51"/>
      <c r="K105" s="51"/>
      <c r="L105" s="51"/>
    </row>
    <row r="106" spans="1:12">
      <c r="A106" s="192" t="s">
        <v>207</v>
      </c>
      <c r="B106" s="72"/>
      <c r="C106" s="72"/>
      <c r="D106" s="72"/>
      <c r="E106" s="72"/>
      <c r="F106" s="72"/>
      <c r="G106" s="72"/>
      <c r="H106" s="72"/>
      <c r="I106" s="72"/>
      <c r="J106" s="72"/>
      <c r="K106" s="72"/>
      <c r="L106" s="72"/>
    </row>
    <row r="107" spans="1:12">
      <c r="A107" s="58"/>
      <c r="B107" s="72"/>
      <c r="C107" s="72"/>
      <c r="D107" s="72"/>
      <c r="E107" s="72"/>
      <c r="F107" s="72"/>
      <c r="G107" s="72"/>
      <c r="H107" s="72"/>
      <c r="I107" s="72"/>
      <c r="J107" s="72"/>
      <c r="K107" s="72"/>
      <c r="L107" s="72"/>
    </row>
    <row r="108" spans="1:12">
      <c r="A108" s="58" t="s">
        <v>208</v>
      </c>
      <c r="B108" s="72">
        <f>'Business plan'!B74*INTGIM</f>
        <v>2086.4316239316245</v>
      </c>
      <c r="C108" s="72">
        <f>'Business plan'!C74*INTGIM</f>
        <v>1317.7214584341241</v>
      </c>
      <c r="D108" s="72">
        <f>'Business plan'!D74*INTGIM</f>
        <v>224.38881577331523</v>
      </c>
      <c r="E108" s="72">
        <f>'Business plan'!E74*INTGIM</f>
        <v>-643.94481489156942</v>
      </c>
      <c r="F108" s="72">
        <f>'Business plan'!F74*INTGIM</f>
        <v>-1195.1298353227482</v>
      </c>
      <c r="G108" s="72">
        <f>'Business plan'!G74*INTGIM</f>
        <v>-1214.647481182757</v>
      </c>
      <c r="H108" s="72">
        <f>'Business plan'!H74*INTGIM</f>
        <v>-1234.2608619130519</v>
      </c>
      <c r="I108" s="72">
        <f>'Business plan'!I74*INTGIM</f>
        <v>-1253.9852756588712</v>
      </c>
      <c r="J108" s="72">
        <f>'Business plan'!J74*INTGIM</f>
        <v>-1273.8354281605543</v>
      </c>
      <c r="K108" s="72">
        <f>'Business plan'!K74*INTGIM</f>
        <v>-1293.8254686665878</v>
      </c>
      <c r="L108" s="72">
        <f>'Business plan'!L74*INTGIM</f>
        <v>-3108.8644397924518</v>
      </c>
    </row>
    <row r="109" spans="1:12">
      <c r="A109" s="58"/>
      <c r="B109" s="72"/>
      <c r="C109" s="72"/>
      <c r="D109" s="72"/>
      <c r="E109" s="72"/>
      <c r="F109" s="72"/>
      <c r="G109" s="72"/>
      <c r="H109" s="72"/>
      <c r="I109" s="72"/>
      <c r="J109" s="72"/>
      <c r="K109" s="72"/>
      <c r="L109" s="72"/>
    </row>
    <row r="110" spans="1:12">
      <c r="A110" s="58" t="s">
        <v>202</v>
      </c>
      <c r="B110" s="72">
        <f>-B108</f>
        <v>-2086.4316239316245</v>
      </c>
      <c r="C110" s="72">
        <f>-C108</f>
        <v>-1317.7214584341241</v>
      </c>
      <c r="D110" s="72">
        <f t="shared" ref="D110:L110" si="61">-D108</f>
        <v>-224.38881577331523</v>
      </c>
      <c r="E110" s="72">
        <f t="shared" si="61"/>
        <v>643.94481489156942</v>
      </c>
      <c r="F110" s="72">
        <f t="shared" si="61"/>
        <v>1195.1298353227482</v>
      </c>
      <c r="G110" s="72">
        <f t="shared" si="61"/>
        <v>1214.647481182757</v>
      </c>
      <c r="H110" s="72">
        <f t="shared" si="61"/>
        <v>1234.2608619130519</v>
      </c>
      <c r="I110" s="72">
        <f t="shared" si="61"/>
        <v>1253.9852756588712</v>
      </c>
      <c r="J110" s="72">
        <f t="shared" si="61"/>
        <v>1273.8354281605543</v>
      </c>
      <c r="K110" s="72">
        <f t="shared" si="61"/>
        <v>1293.8254686665878</v>
      </c>
      <c r="L110" s="72">
        <f t="shared" si="61"/>
        <v>3108.8644397924518</v>
      </c>
    </row>
    <row r="111" spans="1:12">
      <c r="A111" s="189"/>
      <c r="B111" s="190"/>
      <c r="C111" s="190"/>
      <c r="D111" s="190"/>
      <c r="E111" s="190"/>
      <c r="F111" s="190"/>
      <c r="G111" s="190"/>
      <c r="H111" s="190"/>
      <c r="I111" s="190"/>
      <c r="J111" s="190"/>
      <c r="K111" s="190"/>
      <c r="L111" s="190"/>
    </row>
    <row r="112" spans="1:12">
      <c r="A112" s="33" t="s">
        <v>45</v>
      </c>
      <c r="B112" s="33">
        <v>0</v>
      </c>
      <c r="C112" s="33">
        <v>1</v>
      </c>
      <c r="D112" s="33">
        <f>C112+1</f>
        <v>2</v>
      </c>
      <c r="E112" s="33">
        <f t="shared" ref="E112" si="62">D112+1</f>
        <v>3</v>
      </c>
      <c r="F112" s="33">
        <f t="shared" ref="F112" si="63">E112+1</f>
        <v>4</v>
      </c>
      <c r="G112" s="33">
        <f t="shared" ref="G112" si="64">F112+1</f>
        <v>5</v>
      </c>
      <c r="H112" s="33">
        <f t="shared" ref="H112" si="65">G112+1</f>
        <v>6</v>
      </c>
      <c r="I112" s="33">
        <f t="shared" ref="I112" si="66">H112+1</f>
        <v>7</v>
      </c>
      <c r="J112" s="33">
        <f t="shared" ref="J112" si="67">I112+1</f>
        <v>8</v>
      </c>
      <c r="K112" s="33">
        <f t="shared" ref="K112" si="68">J112+1</f>
        <v>9</v>
      </c>
      <c r="L112" s="33">
        <f t="shared" ref="L112" si="69">K112+1</f>
        <v>10</v>
      </c>
    </row>
    <row r="113" spans="1:12">
      <c r="A113" s="64"/>
      <c r="B113" s="51"/>
      <c r="C113" s="51"/>
      <c r="D113" s="51"/>
      <c r="E113" s="51"/>
      <c r="F113" s="51"/>
      <c r="G113" s="51"/>
      <c r="H113" s="51"/>
      <c r="I113" s="51"/>
      <c r="J113" s="51"/>
      <c r="K113" s="51"/>
      <c r="L113" s="51"/>
    </row>
    <row r="114" spans="1:12">
      <c r="A114" s="192" t="s">
        <v>199</v>
      </c>
      <c r="B114" s="72"/>
      <c r="C114" s="72" t="s">
        <v>41</v>
      </c>
      <c r="D114" s="72"/>
      <c r="E114" s="72"/>
      <c r="F114" s="72"/>
      <c r="G114" s="72"/>
      <c r="H114" s="72"/>
      <c r="I114" s="72"/>
      <c r="J114" s="72"/>
      <c r="K114" s="72"/>
      <c r="L114" s="72"/>
    </row>
    <row r="115" spans="1:12">
      <c r="A115" s="58"/>
      <c r="B115" s="72"/>
      <c r="C115" s="72"/>
      <c r="D115" s="72"/>
      <c r="E115" s="72"/>
      <c r="F115" s="72"/>
      <c r="G115" s="72"/>
      <c r="H115" s="72"/>
      <c r="I115" s="72"/>
      <c r="J115" s="72"/>
      <c r="K115" s="72"/>
      <c r="L115" s="72"/>
    </row>
    <row r="116" spans="1:12">
      <c r="A116" s="58" t="s">
        <v>210</v>
      </c>
      <c r="B116" s="72">
        <f>'Business plan'!B97/'Business plan'!B72</f>
        <v>2608.0395299145302</v>
      </c>
      <c r="C116" s="72">
        <f>'Business plan'!C97/'Business plan'!C72</f>
        <v>3225.3771808478473</v>
      </c>
      <c r="D116" s="72">
        <f>'Business plan'!D97/'Business plan'!D72</f>
        <v>3503.5498399643775</v>
      </c>
      <c r="E116" s="72">
        <f>'Business plan'!E97/'Business plan'!E72</f>
        <v>3622.0303649236644</v>
      </c>
      <c r="F116" s="72">
        <f>'Business plan'!F97/'Business plan'!F72</f>
        <v>3365.4772092424528</v>
      </c>
      <c r="G116" s="72">
        <f>'Business plan'!G97/'Business plan'!G72</f>
        <v>3130.8519153225898</v>
      </c>
      <c r="H116" s="72">
        <f>'Business plan'!H97/'Business plan'!H72</f>
        <v>2916.8551470274638</v>
      </c>
      <c r="I116" s="72">
        <f>'Business plan'!I97/'Business plan'!I72</f>
        <v>2722.2598712679828</v>
      </c>
      <c r="J116" s="72">
        <f>'Business plan'!J97/'Business plan'!J72</f>
        <v>2545.9075833045536</v>
      </c>
      <c r="K116" s="72">
        <f>'Business plan'!K97/'Business plan'!K72</f>
        <v>2386.70472257244</v>
      </c>
      <c r="L116" s="72">
        <f>'Business plan'!L97/'Business plan'!L72</f>
        <v>0</v>
      </c>
    </row>
    <row r="117" spans="1:12">
      <c r="A117" s="58"/>
      <c r="B117" s="72"/>
      <c r="C117" s="72"/>
      <c r="D117" s="72"/>
      <c r="E117" s="72"/>
      <c r="F117" s="72"/>
      <c r="G117" s="72"/>
      <c r="H117" s="72"/>
      <c r="I117" s="72"/>
      <c r="J117" s="72"/>
      <c r="K117" s="72"/>
      <c r="L117" s="72"/>
    </row>
    <row r="118" spans="1:12">
      <c r="A118" s="58" t="s">
        <v>202</v>
      </c>
      <c r="B118" s="72">
        <f>B110</f>
        <v>-2086.4316239316245</v>
      </c>
      <c r="C118" s="72">
        <f>B118+C110</f>
        <v>-3404.1530823657486</v>
      </c>
      <c r="D118" s="72">
        <f t="shared" ref="D118:L118" si="70">C118+D110</f>
        <v>-3628.541898139064</v>
      </c>
      <c r="E118" s="72">
        <f t="shared" si="70"/>
        <v>-2984.5970832474945</v>
      </c>
      <c r="F118" s="72">
        <f t="shared" si="70"/>
        <v>-1789.4672479247463</v>
      </c>
      <c r="G118" s="72">
        <f t="shared" si="70"/>
        <v>-574.81976674198927</v>
      </c>
      <c r="H118" s="72">
        <f t="shared" si="70"/>
        <v>659.44109517106267</v>
      </c>
      <c r="I118" s="72">
        <f t="shared" si="70"/>
        <v>1913.4263708299338</v>
      </c>
      <c r="J118" s="72">
        <f t="shared" si="70"/>
        <v>3187.2617989904884</v>
      </c>
      <c r="K118" s="72">
        <f t="shared" si="70"/>
        <v>4481.0872676570762</v>
      </c>
      <c r="L118" s="72">
        <f t="shared" si="70"/>
        <v>7589.9517074495279</v>
      </c>
    </row>
    <row r="119" spans="1:12">
      <c r="A119" s="58"/>
      <c r="B119" s="72"/>
      <c r="C119" s="72"/>
      <c r="D119" s="72"/>
      <c r="E119" s="72"/>
      <c r="F119" s="72"/>
      <c r="G119" s="72"/>
      <c r="H119" s="72"/>
      <c r="I119" s="72"/>
      <c r="J119" s="72"/>
      <c r="K119" s="72"/>
      <c r="L119" s="72"/>
    </row>
    <row r="120" spans="1:12">
      <c r="A120" s="60" t="s">
        <v>203</v>
      </c>
      <c r="B120" s="191">
        <f>B116+B118</f>
        <v>521.60790598290578</v>
      </c>
      <c r="C120" s="191">
        <f t="shared" ref="C120:L120" si="71">C116+C118</f>
        <v>-178.77590151790127</v>
      </c>
      <c r="D120" s="191">
        <f t="shared" si="71"/>
        <v>-124.99205817468646</v>
      </c>
      <c r="E120" s="191">
        <f t="shared" si="71"/>
        <v>637.43328167616983</v>
      </c>
      <c r="F120" s="191">
        <f t="shared" si="71"/>
        <v>1576.0099613177065</v>
      </c>
      <c r="G120" s="191">
        <f t="shared" si="71"/>
        <v>2556.0321485806007</v>
      </c>
      <c r="H120" s="191">
        <f t="shared" si="71"/>
        <v>3576.2962421985267</v>
      </c>
      <c r="I120" s="191">
        <f t="shared" si="71"/>
        <v>4635.6862420979169</v>
      </c>
      <c r="J120" s="191">
        <f t="shared" si="71"/>
        <v>5733.1693822950419</v>
      </c>
      <c r="K120" s="191">
        <f t="shared" si="71"/>
        <v>6867.7919902295162</v>
      </c>
      <c r="L120" s="191">
        <f t="shared" si="71"/>
        <v>7589.9517074495279</v>
      </c>
    </row>
    <row r="121" spans="1:12">
      <c r="A121" s="58"/>
      <c r="B121" s="72"/>
      <c r="C121" s="72"/>
      <c r="D121" s="72"/>
      <c r="E121" s="72"/>
      <c r="F121" s="72"/>
      <c r="G121" s="72"/>
      <c r="H121" s="72"/>
      <c r="I121" s="72"/>
      <c r="J121" s="72"/>
      <c r="K121" s="72"/>
      <c r="L121" s="72"/>
    </row>
    <row r="122" spans="1:12">
      <c r="A122" s="58" t="s">
        <v>204</v>
      </c>
      <c r="B122" s="72">
        <v>0</v>
      </c>
      <c r="C122" s="72">
        <f>B122+C99</f>
        <v>-735.27641025641026</v>
      </c>
      <c r="D122" s="72">
        <f>C122+D99</f>
        <v>-627.58598693412182</v>
      </c>
      <c r="E122" s="72">
        <f t="shared" ref="E122:L122" si="72">D122+E99</f>
        <v>230.13173305574298</v>
      </c>
      <c r="F122" s="72">
        <f t="shared" si="72"/>
        <v>1343.0313958497977</v>
      </c>
      <c r="G122" s="72">
        <f t="shared" si="72"/>
        <v>2484.2778678709365</v>
      </c>
      <c r="H122" s="72">
        <f t="shared" si="72"/>
        <v>3653.6721349135605</v>
      </c>
      <c r="I122" s="72">
        <f t="shared" si="72"/>
        <v>4851.0441949582328</v>
      </c>
      <c r="J122" s="72">
        <f t="shared" si="72"/>
        <v>6076.2519015835605</v>
      </c>
      <c r="K122" s="72">
        <f t="shared" si="72"/>
        <v>7329.1798675125374</v>
      </c>
      <c r="L122" s="72">
        <f t="shared" si="72"/>
        <v>8609.7384254853459</v>
      </c>
    </row>
    <row r="123" spans="1:12">
      <c r="A123" s="58"/>
      <c r="B123" s="72"/>
      <c r="C123" s="72"/>
      <c r="D123" s="72"/>
      <c r="E123" s="72"/>
      <c r="F123" s="72"/>
      <c r="G123" s="72"/>
      <c r="H123" s="72"/>
      <c r="I123" s="72"/>
      <c r="J123" s="72"/>
      <c r="K123" s="72"/>
      <c r="L123" s="72"/>
    </row>
    <row r="124" spans="1:12">
      <c r="A124" s="58" t="s">
        <v>205</v>
      </c>
      <c r="B124" s="72">
        <v>0</v>
      </c>
      <c r="C124" s="72">
        <f>B124+C101</f>
        <v>-88.574927431059777</v>
      </c>
      <c r="D124" s="72">
        <f>C124+D101</f>
        <v>-198.11603923343975</v>
      </c>
      <c r="E124" s="72">
        <f>D124+E101</f>
        <v>-317.10452436430569</v>
      </c>
      <c r="F124" s="72">
        <f t="shared" ref="F124:L124" si="73">E124+F101</f>
        <v>-440.1168763805814</v>
      </c>
      <c r="G124" s="72">
        <f t="shared" si="73"/>
        <v>-554.41610235485359</v>
      </c>
      <c r="H124" s="72">
        <f t="shared" si="73"/>
        <v>-660.74692212052662</v>
      </c>
      <c r="I124" s="72">
        <f t="shared" si="73"/>
        <v>-759.80992711391241</v>
      </c>
      <c r="J124" s="72">
        <f t="shared" si="73"/>
        <v>-852.26403594942906</v>
      </c>
      <c r="K124" s="72">
        <f t="shared" si="73"/>
        <v>-938.72882179750866</v>
      </c>
      <c r="L124" s="72">
        <f t="shared" si="73"/>
        <v>-1019.786718035818</v>
      </c>
    </row>
    <row r="125" spans="1:12">
      <c r="A125" s="58"/>
      <c r="B125" s="72"/>
      <c r="C125" s="72"/>
      <c r="D125" s="72"/>
      <c r="E125" s="72"/>
      <c r="F125" s="72"/>
      <c r="G125" s="72"/>
      <c r="H125" s="72"/>
      <c r="I125" s="72"/>
      <c r="J125" s="72"/>
      <c r="K125" s="72"/>
      <c r="L125" s="72"/>
    </row>
    <row r="126" spans="1:12">
      <c r="A126" s="58" t="s">
        <v>215</v>
      </c>
      <c r="B126" s="72">
        <f>B122+B124</f>
        <v>0</v>
      </c>
      <c r="C126" s="72">
        <f>C122+C124</f>
        <v>-823.85133768747005</v>
      </c>
      <c r="D126" s="72">
        <f t="shared" ref="D126:L126" si="74">D122+D124</f>
        <v>-825.7020261675616</v>
      </c>
      <c r="E126" s="72">
        <f t="shared" si="74"/>
        <v>-86.972791308562705</v>
      </c>
      <c r="F126" s="72">
        <f t="shared" si="74"/>
        <v>902.91451946921632</v>
      </c>
      <c r="G126" s="72">
        <f t="shared" si="74"/>
        <v>1929.8617655160829</v>
      </c>
      <c r="H126" s="72">
        <f t="shared" si="74"/>
        <v>2992.925212793034</v>
      </c>
      <c r="I126" s="72">
        <f t="shared" si="74"/>
        <v>4091.2342678443201</v>
      </c>
      <c r="J126" s="72">
        <f t="shared" si="74"/>
        <v>5223.9878656341316</v>
      </c>
      <c r="K126" s="72">
        <f t="shared" si="74"/>
        <v>6390.4510457150291</v>
      </c>
      <c r="L126" s="72">
        <f t="shared" si="74"/>
        <v>7589.9517074495279</v>
      </c>
    </row>
    <row r="127" spans="1:12">
      <c r="A127" s="58"/>
      <c r="B127" s="72"/>
      <c r="C127" s="72"/>
      <c r="D127" s="72"/>
      <c r="E127" s="72"/>
      <c r="F127" s="72"/>
      <c r="G127" s="72"/>
      <c r="H127" s="72"/>
      <c r="I127" s="72"/>
      <c r="J127" s="72"/>
      <c r="K127" s="72"/>
      <c r="L127" s="72"/>
    </row>
    <row r="128" spans="1:12">
      <c r="A128" s="58" t="s">
        <v>216</v>
      </c>
      <c r="B128" s="72">
        <f>(1-INTGIM)*'Business plan'!B97/'Business plan'!B72</f>
        <v>521.60790598290589</v>
      </c>
      <c r="C128" s="72">
        <f>(1-INTGIM)*'Business plan'!C97/'Business plan'!C72</f>
        <v>645.07543616956934</v>
      </c>
      <c r="D128" s="72">
        <f>(1-INTGIM)*'Business plan'!D97/'Business plan'!D72</f>
        <v>700.70996799287536</v>
      </c>
      <c r="E128" s="72">
        <f>(1-INTGIM)*'Business plan'!E97/'Business plan'!E72</f>
        <v>724.40607298473276</v>
      </c>
      <c r="F128" s="72">
        <f>(1-INTGIM)*'Business plan'!F97/'Business plan'!F72</f>
        <v>673.0954418484904</v>
      </c>
      <c r="G128" s="72">
        <f>(1-INTGIM)*'Business plan'!G97/'Business plan'!G72</f>
        <v>626.17038306451786</v>
      </c>
      <c r="H128" s="72">
        <f>(1-INTGIM)*'Business plan'!H97/'Business plan'!H72</f>
        <v>583.37102940549266</v>
      </c>
      <c r="I128" s="72">
        <f>(1-INTGIM)*'Business plan'!I97/'Business plan'!I72</f>
        <v>544.45197425359652</v>
      </c>
      <c r="J128" s="72">
        <f>(1-INTGIM)*'Business plan'!J97/'Business plan'!J72</f>
        <v>509.18151666091063</v>
      </c>
      <c r="K128" s="72">
        <f>(1-INTGIM)*'Business plan'!K97/'Business plan'!K72</f>
        <v>477.34094451448794</v>
      </c>
      <c r="L128" s="72">
        <f>(1-INTGIM)*'Business plan'!L97/'Business plan'!L72</f>
        <v>0</v>
      </c>
    </row>
    <row r="129" spans="1:12">
      <c r="A129" s="58"/>
      <c r="B129" s="72"/>
      <c r="C129" s="72"/>
      <c r="D129" s="72"/>
      <c r="E129" s="72"/>
      <c r="F129" s="72"/>
      <c r="G129" s="72"/>
      <c r="H129" s="72"/>
      <c r="I129" s="72"/>
      <c r="J129" s="72"/>
      <c r="K129" s="72"/>
      <c r="L129" s="72"/>
    </row>
    <row r="130" spans="1:12">
      <c r="A130" s="60" t="s">
        <v>206</v>
      </c>
      <c r="B130" s="191">
        <f>B126+B128</f>
        <v>521.60790598290589</v>
      </c>
      <c r="C130" s="191">
        <f>C126+C128</f>
        <v>-178.77590151790071</v>
      </c>
      <c r="D130" s="191">
        <f>D126+D128</f>
        <v>-124.99205817468624</v>
      </c>
      <c r="E130" s="191">
        <f t="shared" ref="E130:L130" si="75">E126+E128</f>
        <v>637.43328167617005</v>
      </c>
      <c r="F130" s="191">
        <f t="shared" si="75"/>
        <v>1576.0099613177067</v>
      </c>
      <c r="G130" s="191">
        <f t="shared" si="75"/>
        <v>2556.0321485806007</v>
      </c>
      <c r="H130" s="191">
        <f t="shared" si="75"/>
        <v>3576.2962421985267</v>
      </c>
      <c r="I130" s="191">
        <f t="shared" si="75"/>
        <v>4635.6862420979169</v>
      </c>
      <c r="J130" s="191">
        <f t="shared" si="75"/>
        <v>5733.1693822950419</v>
      </c>
      <c r="K130" s="191">
        <f t="shared" si="75"/>
        <v>6867.7919902295171</v>
      </c>
      <c r="L130" s="191">
        <f t="shared" si="75"/>
        <v>7589.9517074495279</v>
      </c>
    </row>
    <row r="131" spans="1:12">
      <c r="A131" s="62"/>
      <c r="B131" s="73"/>
      <c r="C131" s="73"/>
      <c r="D131" s="73"/>
      <c r="E131" s="73"/>
      <c r="F131" s="73"/>
      <c r="G131" s="73"/>
      <c r="H131" s="73"/>
      <c r="I131" s="73"/>
      <c r="J131" s="73"/>
      <c r="K131" s="73"/>
      <c r="L131" s="7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BA58A-CB30-464D-AB3B-13549E91F419}">
  <dimension ref="A1:I46"/>
  <sheetViews>
    <sheetView showGridLines="0" topLeftCell="A16" zoomScale="180" zoomScaleNormal="180" workbookViewId="0">
      <selection activeCell="C2" sqref="C2"/>
    </sheetView>
  </sheetViews>
  <sheetFormatPr baseColWidth="10" defaultRowHeight="16"/>
  <cols>
    <col min="1" max="1" width="16.83203125" customWidth="1"/>
    <col min="2" max="2" width="13.5" customWidth="1"/>
    <col min="3" max="3" width="16.33203125" customWidth="1"/>
    <col min="4" max="7" width="10.83203125" style="1"/>
    <col min="8" max="8" width="10.83203125" style="10"/>
  </cols>
  <sheetData>
    <row r="1" spans="1:7" ht="17" thickBot="1"/>
    <row r="2" spans="1:7" ht="26" customHeight="1" thickBot="1">
      <c r="C2" s="194" t="s">
        <v>95</v>
      </c>
    </row>
    <row r="3" spans="1:7" ht="16" customHeight="1">
      <c r="C3" s="74"/>
    </row>
    <row r="4" spans="1:7" ht="16" customHeight="1">
      <c r="C4" s="74"/>
      <c r="E4" s="115"/>
      <c r="F4" s="115"/>
      <c r="G4" s="115"/>
    </row>
    <row r="5" spans="1:7" ht="16" customHeight="1">
      <c r="E5" s="116" t="s">
        <v>99</v>
      </c>
      <c r="F5" s="116" t="s">
        <v>100</v>
      </c>
      <c r="G5" s="116" t="s">
        <v>98</v>
      </c>
    </row>
    <row r="6" spans="1:7">
      <c r="E6" s="117"/>
      <c r="F6" s="117"/>
      <c r="G6" s="117"/>
    </row>
    <row r="7" spans="1:7">
      <c r="A7" s="118"/>
      <c r="B7" s="119"/>
      <c r="C7" s="119"/>
      <c r="D7" s="120"/>
      <c r="E7" s="130"/>
      <c r="F7" s="130"/>
      <c r="G7" s="130"/>
    </row>
    <row r="8" spans="1:7">
      <c r="A8" s="122" t="s">
        <v>102</v>
      </c>
      <c r="D8" s="1" t="s">
        <v>97</v>
      </c>
      <c r="E8" s="18">
        <v>650</v>
      </c>
      <c r="F8" s="18" t="s">
        <v>101</v>
      </c>
      <c r="G8" s="18" t="s">
        <v>103</v>
      </c>
    </row>
    <row r="9" spans="1:7">
      <c r="A9" s="13"/>
      <c r="B9" s="14"/>
      <c r="C9" s="14"/>
      <c r="D9" s="124"/>
      <c r="E9" s="131"/>
      <c r="F9" s="131"/>
      <c r="G9" s="131"/>
    </row>
    <row r="10" spans="1:7">
      <c r="A10" s="122"/>
      <c r="E10" s="18"/>
      <c r="F10" s="18"/>
      <c r="G10" s="18"/>
    </row>
    <row r="11" spans="1:7">
      <c r="A11" s="122" t="s">
        <v>96</v>
      </c>
      <c r="D11" s="1" t="s">
        <v>97</v>
      </c>
      <c r="E11" s="18">
        <v>300</v>
      </c>
      <c r="F11" s="18" t="s">
        <v>101</v>
      </c>
      <c r="G11" s="18" t="s">
        <v>104</v>
      </c>
    </row>
    <row r="12" spans="1:7">
      <c r="A12" s="122"/>
      <c r="E12" s="18"/>
      <c r="F12" s="18"/>
      <c r="G12" s="18"/>
    </row>
    <row r="13" spans="1:7">
      <c r="A13" s="122" t="s">
        <v>163</v>
      </c>
      <c r="D13" s="1" t="s">
        <v>168</v>
      </c>
      <c r="E13" s="18">
        <v>0.5</v>
      </c>
      <c r="F13" s="18"/>
      <c r="G13" s="18" t="s">
        <v>113</v>
      </c>
    </row>
    <row r="14" spans="1:7">
      <c r="A14" s="13"/>
      <c r="B14" s="14"/>
      <c r="C14" s="14"/>
      <c r="D14" s="124"/>
      <c r="E14" s="131"/>
      <c r="F14" s="131"/>
      <c r="G14" s="131"/>
    </row>
    <row r="15" spans="1:7">
      <c r="A15" s="118"/>
      <c r="B15" s="119"/>
      <c r="C15" s="119"/>
      <c r="D15" s="120"/>
      <c r="E15" s="130"/>
      <c r="F15" s="130"/>
      <c r="G15" s="130"/>
    </row>
    <row r="16" spans="1:7">
      <c r="A16" s="122" t="s">
        <v>105</v>
      </c>
      <c r="D16" s="1" t="s">
        <v>168</v>
      </c>
      <c r="E16" s="18">
        <v>0.1</v>
      </c>
      <c r="F16" s="18"/>
      <c r="G16" s="18" t="s">
        <v>108</v>
      </c>
    </row>
    <row r="17" spans="1:9">
      <c r="A17" s="122"/>
      <c r="E17" s="18"/>
      <c r="F17" s="18"/>
      <c r="G17" s="18"/>
    </row>
    <row r="18" spans="1:9">
      <c r="A18" s="122" t="s">
        <v>106</v>
      </c>
      <c r="D18" s="1" t="s">
        <v>97</v>
      </c>
      <c r="E18" s="18">
        <v>250</v>
      </c>
      <c r="F18" s="18" t="s">
        <v>112</v>
      </c>
      <c r="G18" s="18" t="s">
        <v>107</v>
      </c>
    </row>
    <row r="19" spans="1:9">
      <c r="A19" s="13"/>
      <c r="B19" s="14"/>
      <c r="C19" s="14"/>
      <c r="D19" s="124"/>
      <c r="E19" s="131"/>
      <c r="F19" s="131"/>
      <c r="G19" s="131"/>
    </row>
    <row r="20" spans="1:9">
      <c r="A20" s="118"/>
      <c r="B20" s="119"/>
      <c r="C20" s="119"/>
      <c r="D20" s="120"/>
      <c r="E20" s="130"/>
      <c r="F20" s="130"/>
      <c r="G20" s="130"/>
    </row>
    <row r="21" spans="1:9">
      <c r="A21" s="122" t="s">
        <v>111</v>
      </c>
      <c r="D21" s="1" t="s">
        <v>168</v>
      </c>
      <c r="E21" s="18">
        <v>0.2</v>
      </c>
      <c r="F21" s="18"/>
      <c r="G21" s="18" t="s">
        <v>109</v>
      </c>
    </row>
    <row r="22" spans="1:9">
      <c r="A22" s="122"/>
      <c r="E22" s="18"/>
      <c r="F22" s="18"/>
      <c r="G22" s="18"/>
    </row>
    <row r="23" spans="1:9">
      <c r="A23" s="122" t="s">
        <v>171</v>
      </c>
      <c r="D23" s="1" t="s">
        <v>97</v>
      </c>
      <c r="E23" s="132">
        <v>50000</v>
      </c>
      <c r="F23" s="18" t="s">
        <v>145</v>
      </c>
      <c r="G23" s="18" t="s">
        <v>110</v>
      </c>
    </row>
    <row r="24" spans="1:9" ht="17" thickBot="1">
      <c r="A24" s="134"/>
      <c r="B24" s="135"/>
      <c r="C24" s="135"/>
      <c r="D24" s="136"/>
      <c r="E24" s="137"/>
      <c r="F24" s="138"/>
      <c r="G24" s="138"/>
    </row>
    <row r="25" spans="1:9" ht="17" thickTop="1">
      <c r="A25" s="122"/>
      <c r="F25" s="267"/>
      <c r="G25" s="123"/>
    </row>
    <row r="26" spans="1:9">
      <c r="A26" s="122" t="s">
        <v>114</v>
      </c>
      <c r="D26" s="1" t="s">
        <v>165</v>
      </c>
      <c r="E26" s="10">
        <v>1000</v>
      </c>
      <c r="F26" s="123"/>
      <c r="G26" s="123"/>
    </row>
    <row r="27" spans="1:9">
      <c r="A27" s="122"/>
      <c r="F27" s="123"/>
      <c r="G27" s="123"/>
    </row>
    <row r="28" spans="1:9">
      <c r="A28" s="122" t="s">
        <v>115</v>
      </c>
      <c r="C28" s="1" t="s">
        <v>62</v>
      </c>
      <c r="D28" s="115">
        <v>1</v>
      </c>
      <c r="E28" s="152">
        <v>0.2</v>
      </c>
      <c r="F28" s="153">
        <f>E$26*E28</f>
        <v>200</v>
      </c>
      <c r="G28" s="123"/>
    </row>
    <row r="29" spans="1:9">
      <c r="A29" s="122"/>
      <c r="D29" s="117">
        <v>2</v>
      </c>
      <c r="E29" s="154">
        <v>0.5</v>
      </c>
      <c r="F29" s="155">
        <f>E$26*E29</f>
        <v>500</v>
      </c>
      <c r="G29" s="123"/>
    </row>
    <row r="30" spans="1:9">
      <c r="A30" s="122"/>
      <c r="D30" s="117">
        <v>3</v>
      </c>
      <c r="E30" s="154">
        <v>0.8</v>
      </c>
      <c r="F30" s="155">
        <f>E$26*E30</f>
        <v>800</v>
      </c>
      <c r="G30" s="123"/>
    </row>
    <row r="31" spans="1:9" ht="34">
      <c r="A31" s="122"/>
      <c r="D31" s="156" t="s">
        <v>169</v>
      </c>
      <c r="E31" s="157">
        <v>1</v>
      </c>
      <c r="F31" s="158">
        <f>E$26*E31</f>
        <v>1000</v>
      </c>
      <c r="G31" s="123"/>
      <c r="I31" s="1"/>
    </row>
    <row r="32" spans="1:9">
      <c r="A32" s="13"/>
      <c r="B32" s="14"/>
      <c r="C32" s="14"/>
      <c r="D32" s="124"/>
      <c r="E32" s="128"/>
      <c r="F32" s="125"/>
      <c r="G32" s="125"/>
    </row>
    <row r="33" spans="1:7">
      <c r="A33" s="118"/>
      <c r="B33" s="119"/>
      <c r="C33" s="119"/>
      <c r="D33" s="120"/>
      <c r="E33" s="120"/>
      <c r="F33" s="121"/>
      <c r="G33" s="121"/>
    </row>
    <row r="34" spans="1:7">
      <c r="A34" s="122" t="s">
        <v>257</v>
      </c>
      <c r="E34" s="10">
        <v>10000</v>
      </c>
      <c r="F34" s="123" t="s">
        <v>145</v>
      </c>
      <c r="G34" s="123" t="s">
        <v>116</v>
      </c>
    </row>
    <row r="35" spans="1:7">
      <c r="A35" s="13"/>
      <c r="B35" s="14"/>
      <c r="C35" s="14"/>
      <c r="D35" s="124"/>
      <c r="E35" s="126"/>
      <c r="F35" s="125"/>
      <c r="G35" s="125"/>
    </row>
    <row r="36" spans="1:7">
      <c r="A36" s="118"/>
      <c r="B36" s="119"/>
      <c r="C36" s="119"/>
      <c r="D36" s="120"/>
      <c r="E36" s="120"/>
      <c r="F36" s="121"/>
      <c r="G36" s="121"/>
    </row>
    <row r="37" spans="1:7">
      <c r="A37" s="122" t="s">
        <v>256</v>
      </c>
      <c r="E37" s="209">
        <v>25000</v>
      </c>
      <c r="F37" s="123" t="s">
        <v>145</v>
      </c>
      <c r="G37" s="123" t="s">
        <v>117</v>
      </c>
    </row>
    <row r="38" spans="1:7">
      <c r="A38" s="13"/>
      <c r="B38" s="14"/>
      <c r="C38" s="14"/>
      <c r="D38" s="124"/>
      <c r="E38" s="126"/>
      <c r="F38" s="125"/>
      <c r="G38" s="125"/>
    </row>
    <row r="39" spans="1:7">
      <c r="A39" s="118"/>
      <c r="B39" s="119"/>
      <c r="C39" s="119"/>
      <c r="D39" s="120"/>
      <c r="E39" s="129"/>
      <c r="F39" s="120"/>
      <c r="G39" s="121"/>
    </row>
    <row r="40" spans="1:7">
      <c r="A40" s="122" t="s">
        <v>25</v>
      </c>
      <c r="E40" s="127">
        <v>0.3</v>
      </c>
      <c r="G40" s="123" t="s">
        <v>136</v>
      </c>
    </row>
    <row r="41" spans="1:7">
      <c r="A41" s="13"/>
      <c r="B41" s="14"/>
      <c r="C41" s="14"/>
      <c r="D41" s="124"/>
      <c r="E41" s="124"/>
      <c r="F41" s="124"/>
      <c r="G41" s="125"/>
    </row>
    <row r="42" spans="1:7">
      <c r="B42" s="118"/>
      <c r="C42" s="119"/>
      <c r="D42" s="120"/>
      <c r="E42" s="121"/>
    </row>
    <row r="43" spans="1:7">
      <c r="B43" s="122" t="s">
        <v>118</v>
      </c>
      <c r="C43" s="1" t="s">
        <v>252</v>
      </c>
      <c r="D43" s="1">
        <v>0.65</v>
      </c>
      <c r="E43" s="123" t="s">
        <v>112</v>
      </c>
    </row>
    <row r="44" spans="1:7">
      <c r="B44" s="122"/>
      <c r="C44" s="1" t="s">
        <v>252</v>
      </c>
      <c r="D44" s="1">
        <v>0.1</v>
      </c>
      <c r="E44" s="123" t="s">
        <v>101</v>
      </c>
    </row>
    <row r="45" spans="1:7">
      <c r="B45" s="122"/>
      <c r="C45" s="1" t="s">
        <v>252</v>
      </c>
      <c r="D45" s="1">
        <v>8</v>
      </c>
      <c r="E45" s="123" t="s">
        <v>145</v>
      </c>
    </row>
    <row r="46" spans="1:7">
      <c r="B46" s="13"/>
      <c r="C46" s="14"/>
      <c r="D46" s="124"/>
      <c r="E46" s="125"/>
    </row>
  </sheetData>
  <phoneticPr fontId="1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C2DC2-01CC-7642-B8E4-0E87EA7705F9}">
  <dimension ref="A2:N36"/>
  <sheetViews>
    <sheetView showGridLines="0" zoomScale="160" zoomScaleNormal="160" workbookViewId="0">
      <selection activeCell="C23" sqref="C23"/>
    </sheetView>
  </sheetViews>
  <sheetFormatPr baseColWidth="10" defaultRowHeight="16"/>
  <cols>
    <col min="1" max="1" width="18.6640625" customWidth="1"/>
    <col min="2" max="2" width="11.6640625" customWidth="1"/>
    <col min="3" max="3" width="13.33203125" customWidth="1"/>
    <col min="4" max="4" width="7.83203125" customWidth="1"/>
    <col min="5" max="5" width="2" customWidth="1"/>
    <col min="6" max="6" width="11.5" style="1" customWidth="1"/>
    <col min="7" max="7" width="3" style="1" customWidth="1"/>
    <col min="8" max="8" width="7.33203125" style="1" customWidth="1"/>
    <col min="9" max="9" width="2.6640625" style="1" customWidth="1"/>
    <col min="10" max="10" width="9.6640625" style="1" customWidth="1"/>
    <col min="11" max="11" width="2.1640625" style="1" customWidth="1"/>
    <col min="12" max="12" width="2.5" style="1" customWidth="1"/>
    <col min="13" max="13" width="10.1640625" style="1" customWidth="1"/>
  </cols>
  <sheetData>
    <row r="2" spans="1:14" ht="19">
      <c r="B2" s="12" t="s">
        <v>162</v>
      </c>
      <c r="D2" s="1"/>
      <c r="E2" s="1"/>
    </row>
    <row r="3" spans="1:14" ht="19">
      <c r="A3" s="101"/>
      <c r="D3" s="1"/>
      <c r="E3" s="1"/>
    </row>
    <row r="4" spans="1:14">
      <c r="A4" s="118"/>
      <c r="B4" s="119"/>
      <c r="C4" s="119"/>
      <c r="D4" s="120"/>
      <c r="E4" s="120"/>
      <c r="F4" s="120"/>
      <c r="G4" s="120"/>
      <c r="H4" s="120"/>
      <c r="I4" s="120"/>
      <c r="J4" s="120"/>
      <c r="K4" s="120"/>
      <c r="L4" s="120"/>
      <c r="M4" s="121"/>
    </row>
    <row r="5" spans="1:14">
      <c r="A5" s="252" t="s">
        <v>119</v>
      </c>
      <c r="C5" s="10">
        <f>Situation!E13*Situation!E11/Situation!D44*Situation!D45</f>
        <v>12000</v>
      </c>
      <c r="D5" s="1" t="s">
        <v>172</v>
      </c>
      <c r="E5" s="195" t="s">
        <v>217</v>
      </c>
      <c r="F5" s="1">
        <f>Situation!E11</f>
        <v>300</v>
      </c>
      <c r="G5" s="1" t="s">
        <v>173</v>
      </c>
      <c r="H5" s="1">
        <f>Situation!E13</f>
        <v>0.5</v>
      </c>
      <c r="I5" s="1" t="s">
        <v>174</v>
      </c>
      <c r="J5" s="1">
        <f>Situation!D44</f>
        <v>0.1</v>
      </c>
      <c r="K5" s="196" t="s">
        <v>218</v>
      </c>
      <c r="L5" s="1" t="s">
        <v>173</v>
      </c>
      <c r="M5" s="123">
        <f>Situation!D45</f>
        <v>8</v>
      </c>
      <c r="N5" s="196"/>
    </row>
    <row r="6" spans="1:14">
      <c r="A6" s="252"/>
      <c r="C6" s="10"/>
      <c r="D6" s="1"/>
      <c r="E6" s="1"/>
      <c r="F6" s="1" t="s">
        <v>175</v>
      </c>
      <c r="H6" s="1" t="s">
        <v>176</v>
      </c>
      <c r="J6" s="1" t="s">
        <v>253</v>
      </c>
      <c r="M6" s="210" t="s">
        <v>255</v>
      </c>
    </row>
    <row r="7" spans="1:14">
      <c r="A7" s="252"/>
      <c r="C7" s="10"/>
      <c r="D7" s="1"/>
      <c r="E7" s="1"/>
      <c r="M7" s="123"/>
    </row>
    <row r="8" spans="1:14">
      <c r="A8" s="252" t="s">
        <v>120</v>
      </c>
      <c r="C8" s="10">
        <f>Situation!E16*Situation!E18/Situation!D43*Situation!D45</f>
        <v>307.69230769230768</v>
      </c>
      <c r="D8" s="1" t="s">
        <v>172</v>
      </c>
      <c r="E8" s="1" t="s">
        <v>217</v>
      </c>
      <c r="F8" s="1">
        <f>Situation!E18</f>
        <v>250</v>
      </c>
      <c r="G8" s="1" t="s">
        <v>173</v>
      </c>
      <c r="H8" s="1">
        <f>Situation!E16</f>
        <v>0.1</v>
      </c>
      <c r="I8" s="1" t="s">
        <v>174</v>
      </c>
      <c r="J8" s="1">
        <f>Situation!D43</f>
        <v>0.65</v>
      </c>
      <c r="K8" s="1" t="s">
        <v>218</v>
      </c>
      <c r="L8" s="1" t="s">
        <v>173</v>
      </c>
      <c r="M8" s="123">
        <f>Situation!D45</f>
        <v>8</v>
      </c>
    </row>
    <row r="9" spans="1:14">
      <c r="A9" s="252"/>
      <c r="C9" s="10"/>
      <c r="D9" s="1"/>
      <c r="E9" s="1"/>
      <c r="F9" s="1" t="s">
        <v>178</v>
      </c>
      <c r="H9" s="1" t="s">
        <v>176</v>
      </c>
      <c r="J9" s="1" t="s">
        <v>254</v>
      </c>
      <c r="M9" s="210" t="s">
        <v>255</v>
      </c>
    </row>
    <row r="10" spans="1:14">
      <c r="A10" s="252"/>
      <c r="C10" s="10"/>
      <c r="D10" s="1"/>
      <c r="E10" s="1"/>
      <c r="M10" s="123"/>
    </row>
    <row r="11" spans="1:14">
      <c r="A11" s="252" t="s">
        <v>121</v>
      </c>
      <c r="C11" s="10">
        <f>Situation!E21*Situation!E23</f>
        <v>10000</v>
      </c>
      <c r="D11" s="1" t="s">
        <v>172</v>
      </c>
      <c r="E11" s="1"/>
      <c r="F11" s="10">
        <f>Situation!E23</f>
        <v>50000</v>
      </c>
      <c r="G11" s="1" t="s">
        <v>173</v>
      </c>
      <c r="H11" s="1">
        <f>Situation!E21</f>
        <v>0.2</v>
      </c>
      <c r="M11" s="123"/>
    </row>
    <row r="12" spans="1:14">
      <c r="A12" s="252"/>
      <c r="C12" s="10"/>
      <c r="D12" s="1"/>
      <c r="E12" s="1"/>
      <c r="F12" s="250" t="s">
        <v>221</v>
      </c>
      <c r="H12" s="1" t="s">
        <v>176</v>
      </c>
      <c r="M12" s="123"/>
    </row>
    <row r="13" spans="1:14">
      <c r="A13" s="252" t="s">
        <v>177</v>
      </c>
      <c r="C13" s="10">
        <f>C5+C8+C11</f>
        <v>22307.692307692309</v>
      </c>
      <c r="D13" s="1"/>
      <c r="E13" s="1"/>
      <c r="M13" s="123"/>
    </row>
    <row r="14" spans="1:14">
      <c r="A14" s="252"/>
      <c r="C14" s="10"/>
      <c r="D14" s="1"/>
      <c r="E14" s="1"/>
      <c r="M14" s="123"/>
    </row>
    <row r="15" spans="1:14">
      <c r="A15" s="252" t="s">
        <v>280</v>
      </c>
      <c r="B15" s="127">
        <v>0.1</v>
      </c>
      <c r="C15" s="10">
        <f>B15*(C5+C8+C11)</f>
        <v>2230.7692307692309</v>
      </c>
      <c r="D15" s="1"/>
      <c r="E15" s="1"/>
      <c r="M15" s="123"/>
    </row>
    <row r="16" spans="1:14">
      <c r="A16" s="122"/>
      <c r="C16" s="10"/>
      <c r="D16" s="1"/>
      <c r="E16" s="1"/>
      <c r="M16" s="123"/>
    </row>
    <row r="17" spans="1:13">
      <c r="A17" s="160" t="s">
        <v>123</v>
      </c>
      <c r="B17" s="11"/>
      <c r="C17" s="161">
        <f>C13+C15</f>
        <v>24538.461538461539</v>
      </c>
      <c r="D17" s="249" t="s">
        <v>222</v>
      </c>
      <c r="E17" s="162"/>
      <c r="F17" s="162" t="s">
        <v>125</v>
      </c>
      <c r="H17" s="197"/>
      <c r="M17" s="123"/>
    </row>
    <row r="18" spans="1:13">
      <c r="A18" s="13"/>
      <c r="B18" s="14"/>
      <c r="C18" s="126"/>
      <c r="D18" s="124"/>
      <c r="E18" s="124"/>
      <c r="F18" s="124"/>
      <c r="G18" s="124"/>
      <c r="H18" s="124"/>
      <c r="I18" s="124"/>
      <c r="J18" s="124"/>
      <c r="K18" s="124"/>
      <c r="L18" s="124"/>
      <c r="M18" s="125"/>
    </row>
    <row r="19" spans="1:13">
      <c r="A19" s="122"/>
      <c r="D19" s="123"/>
      <c r="E19" s="1"/>
    </row>
    <row r="20" spans="1:13">
      <c r="A20" s="122" t="s">
        <v>122</v>
      </c>
      <c r="B20" s="250" t="s">
        <v>221</v>
      </c>
      <c r="C20" s="10">
        <f>Situation!E8/Situation!D44*Situation!D45</f>
        <v>52000</v>
      </c>
      <c r="D20" s="123" t="s">
        <v>126</v>
      </c>
      <c r="E20" s="1"/>
    </row>
    <row r="21" spans="1:13">
      <c r="A21" s="122"/>
      <c r="B21" s="1"/>
      <c r="C21" s="10"/>
      <c r="D21" s="123"/>
      <c r="E21" s="1"/>
    </row>
    <row r="22" spans="1:13">
      <c r="A22" s="122" t="s">
        <v>124</v>
      </c>
      <c r="B22" s="250" t="s">
        <v>221</v>
      </c>
      <c r="C22" s="10">
        <f>C20-C17</f>
        <v>27461.538461538461</v>
      </c>
      <c r="D22" s="123"/>
      <c r="E22" s="1"/>
    </row>
    <row r="23" spans="1:13">
      <c r="A23" s="13"/>
      <c r="B23" s="124"/>
      <c r="C23" s="126"/>
      <c r="D23" s="125"/>
      <c r="E23" s="1"/>
    </row>
    <row r="24" spans="1:13">
      <c r="A24" s="118"/>
      <c r="B24" s="119"/>
      <c r="C24" s="119"/>
      <c r="D24" s="121"/>
      <c r="E24" s="1"/>
    </row>
    <row r="25" spans="1:13">
      <c r="A25" s="122" t="s">
        <v>127</v>
      </c>
      <c r="C25" s="10">
        <f>CFX</f>
        <v>10000</v>
      </c>
      <c r="D25" s="210" t="s">
        <v>148</v>
      </c>
      <c r="E25" s="1"/>
    </row>
    <row r="26" spans="1:13">
      <c r="A26" s="122" t="s">
        <v>128</v>
      </c>
      <c r="C26" s="10">
        <f>CAPEX/10</f>
        <v>2500</v>
      </c>
      <c r="D26" s="210" t="s">
        <v>148</v>
      </c>
      <c r="E26" s="1"/>
    </row>
    <row r="27" spans="1:13">
      <c r="A27" s="122"/>
      <c r="C27" s="10"/>
      <c r="D27" s="123"/>
      <c r="E27" s="1"/>
    </row>
    <row r="28" spans="1:13">
      <c r="A28" s="122" t="s">
        <v>129</v>
      </c>
      <c r="C28" s="10">
        <f>SUM(C25:C26)</f>
        <v>12500</v>
      </c>
      <c r="D28" s="210" t="s">
        <v>148</v>
      </c>
      <c r="E28" s="1"/>
    </row>
    <row r="29" spans="1:13">
      <c r="A29" s="122"/>
      <c r="D29" s="123"/>
      <c r="E29" s="1"/>
    </row>
    <row r="30" spans="1:13">
      <c r="A30" s="122" t="s">
        <v>130</v>
      </c>
      <c r="B30" s="1" t="s">
        <v>161</v>
      </c>
      <c r="C30" s="10">
        <f>C28*1000/C22</f>
        <v>455.18207282913164</v>
      </c>
      <c r="D30" s="123"/>
      <c r="E30" s="1"/>
    </row>
    <row r="31" spans="1:13">
      <c r="A31" s="13"/>
      <c r="B31" s="14"/>
      <c r="C31" s="14"/>
      <c r="D31" s="125"/>
      <c r="E31" s="1"/>
    </row>
    <row r="32" spans="1:13">
      <c r="A32" s="118"/>
      <c r="B32" s="119"/>
      <c r="C32" s="119"/>
      <c r="D32" s="121"/>
      <c r="E32" s="1"/>
    </row>
    <row r="33" spans="1:5">
      <c r="A33" s="122" t="s">
        <v>138</v>
      </c>
      <c r="C33" s="143">
        <v>1.4999999999999999E-2</v>
      </c>
      <c r="D33" s="123" t="s">
        <v>139</v>
      </c>
      <c r="E33" s="1"/>
    </row>
    <row r="34" spans="1:5">
      <c r="A34" s="122"/>
      <c r="C34" s="1"/>
      <c r="D34" s="123"/>
      <c r="E34" s="1"/>
    </row>
    <row r="35" spans="1:5">
      <c r="A35" s="122" t="s">
        <v>137</v>
      </c>
      <c r="C35" s="127">
        <v>0.06</v>
      </c>
      <c r="D35" s="123" t="s">
        <v>140</v>
      </c>
      <c r="E35" s="1"/>
    </row>
    <row r="36" spans="1:5">
      <c r="A36" s="13"/>
      <c r="B36" s="14"/>
      <c r="C36" s="14"/>
      <c r="D36" s="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7287F-3A2A-B746-A220-A637CB86FADF}">
  <dimension ref="A1:AL263"/>
  <sheetViews>
    <sheetView topLeftCell="R1" zoomScale="80" zoomScaleNormal="80" workbookViewId="0">
      <selection activeCell="Z20" sqref="Z20:AJ31"/>
    </sheetView>
  </sheetViews>
  <sheetFormatPr baseColWidth="10" defaultRowHeight="16"/>
  <cols>
    <col min="1" max="1" width="15.1640625" style="1" customWidth="1"/>
    <col min="8" max="8" width="13.6640625" style="149" customWidth="1"/>
    <col min="12" max="12" width="19.83203125" customWidth="1"/>
    <col min="13" max="13" width="14.1640625" bestFit="1" customWidth="1"/>
    <col min="16" max="16" width="21" bestFit="1" customWidth="1"/>
    <col min="17" max="17" width="14.1640625" bestFit="1" customWidth="1"/>
    <col min="20" max="20" width="21" bestFit="1" customWidth="1"/>
    <col min="21" max="21" width="14.1640625" bestFit="1" customWidth="1"/>
    <col min="23" max="23" width="13.83203125" style="1" bestFit="1" customWidth="1"/>
    <col min="26" max="26" width="27.33203125" customWidth="1"/>
  </cols>
  <sheetData>
    <row r="1" spans="1:24" s="1" customFormat="1" ht="19">
      <c r="A1" s="2" t="s">
        <v>22</v>
      </c>
      <c r="B1" s="3" t="s">
        <v>8</v>
      </c>
      <c r="C1" s="3" t="s">
        <v>9</v>
      </c>
      <c r="D1" s="3" t="s">
        <v>10</v>
      </c>
      <c r="E1" s="3" t="s">
        <v>11</v>
      </c>
      <c r="F1" s="3" t="s">
        <v>12</v>
      </c>
      <c r="G1" s="3" t="s">
        <v>23</v>
      </c>
      <c r="H1" s="148" t="s">
        <v>166</v>
      </c>
      <c r="I1" s="3" t="s">
        <v>24</v>
      </c>
      <c r="J1" s="2" t="s">
        <v>167</v>
      </c>
      <c r="K1" s="2" t="s">
        <v>13</v>
      </c>
      <c r="L1" s="2" t="s">
        <v>14</v>
      </c>
      <c r="M1" s="2" t="s">
        <v>15</v>
      </c>
      <c r="N1" s="4" t="s">
        <v>16</v>
      </c>
      <c r="O1" s="2" t="s">
        <v>17</v>
      </c>
      <c r="P1" s="2" t="s">
        <v>14</v>
      </c>
      <c r="Q1" s="2" t="s">
        <v>15</v>
      </c>
      <c r="R1" s="4" t="s">
        <v>18</v>
      </c>
      <c r="S1" s="2" t="s">
        <v>19</v>
      </c>
      <c r="T1" s="2" t="s">
        <v>14</v>
      </c>
      <c r="U1" s="2" t="s">
        <v>15</v>
      </c>
      <c r="V1" s="4" t="s">
        <v>20</v>
      </c>
      <c r="W1" s="148" t="s">
        <v>166</v>
      </c>
      <c r="X1" s="5" t="s">
        <v>21</v>
      </c>
    </row>
    <row r="2" spans="1:24">
      <c r="A2" s="151">
        <v>44896</v>
      </c>
      <c r="B2" s="10">
        <v>930.40002400000003</v>
      </c>
      <c r="C2" s="10">
        <v>975.40002400000003</v>
      </c>
      <c r="D2" s="10">
        <v>843.20001200000002</v>
      </c>
      <c r="E2" s="10">
        <v>883.04998799999998</v>
      </c>
      <c r="F2" s="10">
        <v>877.253784</v>
      </c>
      <c r="G2" s="6">
        <f>(F2-F3)/F3</f>
        <v>-5.0892135365339763E-2</v>
      </c>
      <c r="I2" s="10">
        <v>24605.779297000001</v>
      </c>
      <c r="J2" s="6">
        <f>(I2-I3)/I3</f>
        <v>-3.1526273967131049E-2</v>
      </c>
      <c r="L2" s="1">
        <f>COVAR(G2:G13,J2:J13)</f>
        <v>6.8125791459307868E-4</v>
      </c>
      <c r="M2" s="1">
        <f>VAR(J2:J13)</f>
        <v>2.1861414231149129E-3</v>
      </c>
      <c r="N2" s="7">
        <f>L2/M2</f>
        <v>0.31162572896239793</v>
      </c>
      <c r="O2" s="8"/>
      <c r="P2" s="1">
        <f t="shared" ref="P2:P65" si="0">COVAR(G2:G25,J2:J25)</f>
        <v>6.3855313780857625E-5</v>
      </c>
      <c r="Q2" s="1">
        <f t="shared" ref="Q2:Q65" si="1">VAR(J2:J25)</f>
        <v>1.6813372898625025E-3</v>
      </c>
      <c r="R2" s="7">
        <f>P2/Q2</f>
        <v>3.7978883931182914E-2</v>
      </c>
      <c r="T2" s="1">
        <f t="shared" ref="T2:T65" si="2">COVAR(G2:G37,J2:J37)</f>
        <v>1.7632474239294383E-3</v>
      </c>
      <c r="U2" s="1">
        <f t="shared" ref="U2:U65" si="3">VAR(J2:J37)</f>
        <v>4.3525570190935106E-3</v>
      </c>
      <c r="V2" s="7">
        <f>T2/U2</f>
        <v>0.40510610572004929</v>
      </c>
      <c r="W2" s="7"/>
      <c r="X2" s="9">
        <f>A2</f>
        <v>44896</v>
      </c>
    </row>
    <row r="3" spans="1:24">
      <c r="A3" s="151">
        <v>44866</v>
      </c>
      <c r="B3" s="10">
        <v>969.54998799999998</v>
      </c>
      <c r="C3" s="10">
        <v>1010</v>
      </c>
      <c r="D3" s="10">
        <v>886.04998799999998</v>
      </c>
      <c r="E3" s="10">
        <v>930.40002400000003</v>
      </c>
      <c r="F3" s="10">
        <v>924.29303000000004</v>
      </c>
      <c r="G3" s="6">
        <f t="shared" ref="G3:G66" si="4">(F3-F4)/F4</f>
        <v>-3.2596768435417603E-2</v>
      </c>
      <c r="I3" s="10">
        <v>25406.759765999999</v>
      </c>
      <c r="J3" s="6">
        <f t="shared" ref="J3:J66" si="5">(I3-I4)/I4</f>
        <v>3.3233994076518197E-2</v>
      </c>
      <c r="L3" s="1">
        <f t="shared" ref="L3:L66" si="6">COVAR(G3:G14,J3:J14)</f>
        <v>4.66806706321101E-4</v>
      </c>
      <c r="M3" s="1">
        <f t="shared" ref="M3:M66" si="7">VAR(J3:J14)</f>
        <v>2.0842739356070716E-3</v>
      </c>
      <c r="N3" s="7">
        <f t="shared" ref="N3:N66" si="8">L3/M3</f>
        <v>0.22396610078278292</v>
      </c>
      <c r="P3" s="1">
        <f t="shared" si="0"/>
        <v>-9.9476322093543671E-5</v>
      </c>
      <c r="Q3" s="1">
        <f t="shared" si="1"/>
        <v>1.7488856593077969E-3</v>
      </c>
      <c r="R3" s="7">
        <f t="shared" ref="R3:R66" si="9">P3/Q3</f>
        <v>-5.6879831774088688E-2</v>
      </c>
      <c r="T3" s="1">
        <f t="shared" si="2"/>
        <v>1.644847743665305E-3</v>
      </c>
      <c r="U3" s="1">
        <f t="shared" si="3"/>
        <v>4.2919808513420142E-3</v>
      </c>
      <c r="V3" s="7">
        <f t="shared" ref="V3:V66" si="10">T3/U3</f>
        <v>0.38323743759271311</v>
      </c>
      <c r="X3" s="9"/>
    </row>
    <row r="4" spans="1:24">
      <c r="A4" s="151">
        <v>44835</v>
      </c>
      <c r="B4" s="10">
        <v>990.90002400000003</v>
      </c>
      <c r="C4" s="10">
        <v>1025.75</v>
      </c>
      <c r="D4" s="10">
        <v>951.29998799999998</v>
      </c>
      <c r="E4" s="10">
        <v>961.75</v>
      </c>
      <c r="F4" s="10">
        <v>955.43719499999997</v>
      </c>
      <c r="G4" s="6">
        <f t="shared" si="4"/>
        <v>-2.9956137702979582E-2</v>
      </c>
      <c r="I4" s="10">
        <v>24589.550781000002</v>
      </c>
      <c r="J4" s="6">
        <f t="shared" si="5"/>
        <v>4.0058851973305588E-2</v>
      </c>
      <c r="L4" s="1">
        <f t="shared" si="6"/>
        <v>8.2355057297789347E-4</v>
      </c>
      <c r="M4" s="1">
        <f t="shared" si="7"/>
        <v>2.1287980140477923E-3</v>
      </c>
      <c r="N4" s="7">
        <f t="shared" si="8"/>
        <v>0.38686177248538361</v>
      </c>
      <c r="P4" s="1">
        <f t="shared" si="0"/>
        <v>4.1911746369655364E-4</v>
      </c>
      <c r="Q4" s="1">
        <f t="shared" si="1"/>
        <v>2.1541808981040923E-3</v>
      </c>
      <c r="R4" s="7">
        <f t="shared" si="9"/>
        <v>0.19456001307291393</v>
      </c>
      <c r="T4" s="1">
        <f t="shared" si="2"/>
        <v>1.6749430673777238E-3</v>
      </c>
      <c r="U4" s="1">
        <f t="shared" si="3"/>
        <v>4.2835409681655483E-3</v>
      </c>
      <c r="V4" s="7">
        <f t="shared" si="10"/>
        <v>0.39101833735817587</v>
      </c>
      <c r="X4" s="9"/>
    </row>
    <row r="5" spans="1:24">
      <c r="A5" s="151">
        <v>44805</v>
      </c>
      <c r="B5" s="10">
        <v>1054</v>
      </c>
      <c r="C5" s="10">
        <v>1094.400024</v>
      </c>
      <c r="D5" s="10">
        <v>963.70001200000002</v>
      </c>
      <c r="E5" s="10">
        <v>991.45001200000002</v>
      </c>
      <c r="F5" s="10">
        <v>984.94226100000003</v>
      </c>
      <c r="G5" s="6">
        <f t="shared" si="4"/>
        <v>-5.849675814118422E-2</v>
      </c>
      <c r="H5" s="150"/>
      <c r="I5" s="10">
        <v>23642.460938</v>
      </c>
      <c r="J5" s="6">
        <f t="shared" si="5"/>
        <v>-3.25225104220805E-2</v>
      </c>
      <c r="L5" s="1">
        <f t="shared" si="6"/>
        <v>9.8297625403419579E-4</v>
      </c>
      <c r="M5" s="1">
        <f t="shared" si="7"/>
        <v>1.9932701302483626E-3</v>
      </c>
      <c r="N5" s="7">
        <f t="shared" si="8"/>
        <v>0.49314753636112352</v>
      </c>
      <c r="P5" s="1">
        <f t="shared" si="0"/>
        <v>4.4364507328853567E-4</v>
      </c>
      <c r="Q5" s="1">
        <f t="shared" si="1"/>
        <v>2.138767190874951E-3</v>
      </c>
      <c r="R5" s="7">
        <f t="shared" si="9"/>
        <v>0.20743027814403883</v>
      </c>
      <c r="T5" s="1">
        <f t="shared" si="2"/>
        <v>1.7908635003460838E-3</v>
      </c>
      <c r="U5" s="1">
        <f t="shared" si="3"/>
        <v>4.2820310709670486E-3</v>
      </c>
      <c r="V5" s="7">
        <f t="shared" si="10"/>
        <v>0.41822758188011872</v>
      </c>
      <c r="X5" s="9"/>
    </row>
    <row r="6" spans="1:24">
      <c r="A6" s="151">
        <v>44774</v>
      </c>
      <c r="B6" s="10">
        <v>1043</v>
      </c>
      <c r="C6" s="10">
        <v>1092.5</v>
      </c>
      <c r="D6" s="10">
        <v>983.95001200000002</v>
      </c>
      <c r="E6" s="10">
        <v>1053.0500489999999</v>
      </c>
      <c r="F6" s="10">
        <v>1046.137939</v>
      </c>
      <c r="G6" s="6">
        <f t="shared" si="4"/>
        <v>3.0562258060985531E-2</v>
      </c>
      <c r="I6" s="10">
        <v>24437.220702999999</v>
      </c>
      <c r="J6" s="6">
        <f t="shared" si="5"/>
        <v>4.6129993834183786E-2</v>
      </c>
      <c r="L6" s="1">
        <f t="shared" si="6"/>
        <v>6.8987408362137462E-4</v>
      </c>
      <c r="M6" s="1">
        <f t="shared" si="7"/>
        <v>1.9649112740587351E-3</v>
      </c>
      <c r="N6" s="7">
        <f t="shared" si="8"/>
        <v>0.35109681171321577</v>
      </c>
      <c r="P6" s="1">
        <f t="shared" si="0"/>
        <v>2.7503808573526634E-4</v>
      </c>
      <c r="Q6" s="1">
        <f t="shared" si="1"/>
        <v>2.0380038199249253E-3</v>
      </c>
      <c r="R6" s="7">
        <f t="shared" si="9"/>
        <v>0.13495464681974836</v>
      </c>
      <c r="T6" s="1">
        <f t="shared" si="2"/>
        <v>1.708387912511874E-3</v>
      </c>
      <c r="U6" s="1">
        <f t="shared" si="3"/>
        <v>4.2306126912986198E-3</v>
      </c>
      <c r="V6" s="7">
        <f t="shared" si="10"/>
        <v>0.40381572059896387</v>
      </c>
      <c r="X6" s="9"/>
    </row>
    <row r="7" spans="1:24">
      <c r="A7" s="151">
        <v>44743</v>
      </c>
      <c r="B7" s="10">
        <v>962.59997599999997</v>
      </c>
      <c r="C7" s="10">
        <v>1077</v>
      </c>
      <c r="D7" s="10">
        <v>933.04998799999998</v>
      </c>
      <c r="E7" s="10">
        <v>1028.099976</v>
      </c>
      <c r="F7" s="10">
        <v>1015.11377</v>
      </c>
      <c r="G7" s="6">
        <f t="shared" si="4"/>
        <v>7.9200102886529275E-2</v>
      </c>
      <c r="I7" s="10">
        <v>23359.640625</v>
      </c>
      <c r="J7" s="6">
        <f t="shared" si="5"/>
        <v>9.5434726911921147E-2</v>
      </c>
      <c r="L7" s="1">
        <f t="shared" si="6"/>
        <v>-7.3373118421755682E-5</v>
      </c>
      <c r="M7" s="1">
        <f t="shared" si="7"/>
        <v>2.1378014737474288E-3</v>
      </c>
      <c r="N7" s="7">
        <f t="shared" si="8"/>
        <v>-3.4321764355947103E-2</v>
      </c>
      <c r="P7" s="1">
        <f t="shared" si="0"/>
        <v>2.4020324260272852E-4</v>
      </c>
      <c r="Q7" s="1">
        <f t="shared" si="1"/>
        <v>2.0234344854235687E-3</v>
      </c>
      <c r="R7" s="7">
        <f t="shared" si="9"/>
        <v>0.11871065968930859</v>
      </c>
      <c r="T7" s="1">
        <f t="shared" si="2"/>
        <v>1.7093950310866641E-3</v>
      </c>
      <c r="U7" s="1">
        <f t="shared" si="3"/>
        <v>4.2206172838474701E-3</v>
      </c>
      <c r="V7" s="7">
        <f t="shared" si="10"/>
        <v>0.40501066932285262</v>
      </c>
      <c r="X7" s="9"/>
    </row>
    <row r="8" spans="1:24">
      <c r="A8" s="151">
        <v>44713</v>
      </c>
      <c r="B8" s="10">
        <v>939.15002400000003</v>
      </c>
      <c r="C8" s="10">
        <v>984.20001200000002</v>
      </c>
      <c r="D8" s="10">
        <v>887.95001200000002</v>
      </c>
      <c r="E8" s="10">
        <v>952.65002400000003</v>
      </c>
      <c r="F8" s="10">
        <v>940.61682099999996</v>
      </c>
      <c r="G8" s="6">
        <f t="shared" si="4"/>
        <v>1.0072565027941767E-2</v>
      </c>
      <c r="I8" s="10">
        <v>21324.539063</v>
      </c>
      <c r="J8" s="6">
        <f t="shared" si="5"/>
        <v>-5.2143315005948536E-2</v>
      </c>
      <c r="L8" s="1">
        <f t="shared" si="6"/>
        <v>-5.9502740212321952E-4</v>
      </c>
      <c r="M8" s="1">
        <f t="shared" si="7"/>
        <v>1.3786481584505709E-3</v>
      </c>
      <c r="N8" s="7">
        <f t="shared" si="8"/>
        <v>-0.43160207227343367</v>
      </c>
      <c r="P8" s="1">
        <f t="shared" si="0"/>
        <v>7.9247934214771862E-5</v>
      </c>
      <c r="Q8" s="1">
        <f t="shared" si="1"/>
        <v>1.8765604774172331E-3</v>
      </c>
      <c r="R8" s="7">
        <f t="shared" si="9"/>
        <v>4.223041845357587E-2</v>
      </c>
      <c r="T8" s="1">
        <f t="shared" si="2"/>
        <v>1.883608158507234E-3</v>
      </c>
      <c r="U8" s="1">
        <f t="shared" si="3"/>
        <v>4.198600676938339E-3</v>
      </c>
      <c r="V8" s="7">
        <f t="shared" si="10"/>
        <v>0.4486276032044037</v>
      </c>
      <c r="X8" s="9"/>
    </row>
    <row r="9" spans="1:24">
      <c r="A9" s="151">
        <v>44682</v>
      </c>
      <c r="B9" s="10">
        <v>892.5</v>
      </c>
      <c r="C9" s="10">
        <v>1002.5</v>
      </c>
      <c r="D9" s="10">
        <v>864.40002400000003</v>
      </c>
      <c r="E9" s="10">
        <v>943.15002400000003</v>
      </c>
      <c r="F9" s="10">
        <v>931.23687700000005</v>
      </c>
      <c r="G9" s="6">
        <f t="shared" si="4"/>
        <v>5.5095667350972731E-2</v>
      </c>
      <c r="I9" s="10">
        <v>22497.640625</v>
      </c>
      <c r="J9" s="6">
        <f t="shared" si="5"/>
        <v>-4.4753117021590016E-2</v>
      </c>
      <c r="L9" s="1">
        <f t="shared" si="6"/>
        <v>-4.583517868286468E-4</v>
      </c>
      <c r="M9" s="1">
        <f t="shared" si="7"/>
        <v>1.1256648202534957E-3</v>
      </c>
      <c r="N9" s="7">
        <f t="shared" si="8"/>
        <v>-0.40718318506696122</v>
      </c>
      <c r="P9" s="1">
        <f t="shared" si="0"/>
        <v>4.3700271448857809E-4</v>
      </c>
      <c r="Q9" s="1">
        <f t="shared" si="1"/>
        <v>1.7833517510880124E-3</v>
      </c>
      <c r="R9" s="7">
        <f t="shared" si="9"/>
        <v>0.24504572035324232</v>
      </c>
      <c r="T9" s="1">
        <f t="shared" si="2"/>
        <v>1.9075768000525453E-3</v>
      </c>
      <c r="U9" s="1">
        <f t="shared" si="3"/>
        <v>4.1012929723613862E-3</v>
      </c>
      <c r="V9" s="7">
        <f t="shared" si="10"/>
        <v>0.46511595560417301</v>
      </c>
      <c r="X9" s="9"/>
    </row>
    <row r="10" spans="1:24">
      <c r="A10" s="151">
        <v>44652</v>
      </c>
      <c r="B10" s="10">
        <v>808</v>
      </c>
      <c r="C10" s="10">
        <v>920.90002400000003</v>
      </c>
      <c r="D10" s="10">
        <v>792.79998799999998</v>
      </c>
      <c r="E10" s="10">
        <v>893.90002400000003</v>
      </c>
      <c r="F10" s="10">
        <v>882.60894800000005</v>
      </c>
      <c r="G10" s="6">
        <f t="shared" si="4"/>
        <v>0.1185634319649993</v>
      </c>
      <c r="H10" s="150">
        <f>AVERAGE(E10:E22)</f>
        <v>806.42308153846159</v>
      </c>
      <c r="I10" s="10">
        <v>23551.650390999999</v>
      </c>
      <c r="J10" s="6">
        <f t="shared" si="5"/>
        <v>-6.0501926952444881E-3</v>
      </c>
      <c r="L10" s="1">
        <f t="shared" si="6"/>
        <v>2.8209617417959963E-5</v>
      </c>
      <c r="M10" s="1">
        <f t="shared" si="7"/>
        <v>1.1567450788197856E-3</v>
      </c>
      <c r="N10" s="7">
        <f t="shared" si="8"/>
        <v>2.4387064993388111E-2</v>
      </c>
      <c r="P10" s="1">
        <f t="shared" si="0"/>
        <v>4.0385037352850661E-4</v>
      </c>
      <c r="Q10" s="1">
        <f t="shared" si="1"/>
        <v>1.6740717826991709E-3</v>
      </c>
      <c r="R10" s="7">
        <f t="shared" si="9"/>
        <v>0.24123838517686677</v>
      </c>
      <c r="T10" s="1">
        <f t="shared" si="2"/>
        <v>1.9548921723755615E-3</v>
      </c>
      <c r="U10" s="1">
        <f t="shared" si="3"/>
        <v>4.0049986348242392E-3</v>
      </c>
      <c r="V10" s="7">
        <f t="shared" si="10"/>
        <v>0.48811306834848711</v>
      </c>
      <c r="X10" s="9"/>
    </row>
    <row r="11" spans="1:24">
      <c r="A11" s="151">
        <v>44621</v>
      </c>
      <c r="B11" s="10">
        <v>773.90002400000003</v>
      </c>
      <c r="C11" s="10">
        <v>869.70001200000002</v>
      </c>
      <c r="D11" s="10">
        <v>742.09997599999997</v>
      </c>
      <c r="E11" s="10">
        <v>799.15002400000003</v>
      </c>
      <c r="F11" s="10">
        <v>789.05578600000001</v>
      </c>
      <c r="G11" s="6">
        <f t="shared" si="4"/>
        <v>4.1745267270301104E-2</v>
      </c>
      <c r="I11" s="10">
        <v>23695.009765999999</v>
      </c>
      <c r="J11" s="6">
        <f t="shared" si="5"/>
        <v>4.192173980411755E-2</v>
      </c>
      <c r="L11" s="1">
        <f t="shared" si="6"/>
        <v>2.759977672508747E-4</v>
      </c>
      <c r="M11" s="1">
        <f t="shared" si="7"/>
        <v>1.1246383515676073E-3</v>
      </c>
      <c r="N11" s="7">
        <f t="shared" si="8"/>
        <v>0.24541023953715238</v>
      </c>
      <c r="P11" s="1">
        <f t="shared" si="0"/>
        <v>8.9581823640054632E-4</v>
      </c>
      <c r="Q11" s="1">
        <f t="shared" si="1"/>
        <v>2.2055619151168382E-3</v>
      </c>
      <c r="R11" s="7">
        <f t="shared" si="9"/>
        <v>0.40616326853517098</v>
      </c>
      <c r="T11" s="1">
        <f t="shared" si="2"/>
        <v>2.0736184081476001E-3</v>
      </c>
      <c r="U11" s="1">
        <f t="shared" si="3"/>
        <v>3.9996265640261496E-3</v>
      </c>
      <c r="V11" s="7">
        <f t="shared" si="10"/>
        <v>0.51845300428753793</v>
      </c>
      <c r="W11" s="7">
        <f>AVERAGE(V11:V23)</f>
        <v>0.54986287101744569</v>
      </c>
      <c r="X11" s="9"/>
    </row>
    <row r="12" spans="1:24">
      <c r="A12" s="151">
        <v>44593</v>
      </c>
      <c r="B12" s="10">
        <v>802</v>
      </c>
      <c r="C12" s="10">
        <v>832.25</v>
      </c>
      <c r="D12" s="10">
        <v>730</v>
      </c>
      <c r="E12" s="10">
        <v>773</v>
      </c>
      <c r="F12" s="10">
        <v>757.43640100000005</v>
      </c>
      <c r="G12" s="6">
        <f t="shared" si="4"/>
        <v>-1.9844034037180099E-2</v>
      </c>
      <c r="I12" s="10">
        <v>22741.640625</v>
      </c>
      <c r="J12" s="6">
        <f t="shared" si="5"/>
        <v>-4.1055727189893802E-2</v>
      </c>
      <c r="L12" s="1">
        <f t="shared" si="6"/>
        <v>1.9134895258103902E-4</v>
      </c>
      <c r="M12" s="1">
        <f t="shared" si="7"/>
        <v>1.0606324170273332E-3</v>
      </c>
      <c r="N12" s="7">
        <f t="shared" si="8"/>
        <v>0.18041024346336554</v>
      </c>
      <c r="P12" s="1">
        <f t="shared" si="0"/>
        <v>2.3529970919176414E-3</v>
      </c>
      <c r="Q12" s="1">
        <f t="shared" si="1"/>
        <v>5.3305730773925324E-3</v>
      </c>
      <c r="R12" s="7">
        <f t="shared" si="9"/>
        <v>0.44141540839144028</v>
      </c>
      <c r="T12" s="1">
        <f t="shared" si="2"/>
        <v>2.2489036353136103E-3</v>
      </c>
      <c r="U12" s="1">
        <f t="shared" si="3"/>
        <v>4.0928549267663771E-3</v>
      </c>
      <c r="V12" s="7">
        <f t="shared" si="10"/>
        <v>0.54947064470970419</v>
      </c>
      <c r="X12" s="9"/>
    </row>
    <row r="13" spans="1:24">
      <c r="A13" s="151">
        <v>44562</v>
      </c>
      <c r="B13" s="10">
        <v>762.95001200000002</v>
      </c>
      <c r="C13" s="10">
        <v>819</v>
      </c>
      <c r="D13" s="10">
        <v>731.25</v>
      </c>
      <c r="E13" s="10">
        <v>788.65002400000003</v>
      </c>
      <c r="F13" s="10">
        <v>772.77130099999999</v>
      </c>
      <c r="G13" s="6">
        <f t="shared" si="4"/>
        <v>4.3740090372960921E-2</v>
      </c>
      <c r="I13" s="10">
        <v>23715.289063</v>
      </c>
      <c r="J13" s="6">
        <f t="shared" si="5"/>
        <v>-4.0196101381714264E-3</v>
      </c>
      <c r="L13" s="1">
        <f t="shared" si="6"/>
        <v>-3.429947013766312E-4</v>
      </c>
      <c r="M13" s="1">
        <f t="shared" si="7"/>
        <v>1.0481106193076309E-3</v>
      </c>
      <c r="N13" s="7">
        <f t="shared" si="8"/>
        <v>-0.32725047820163233</v>
      </c>
      <c r="P13" s="1">
        <f t="shared" si="0"/>
        <v>2.4065647794677182E-3</v>
      </c>
      <c r="Q13" s="1">
        <f t="shared" si="1"/>
        <v>5.4866781923603716E-3</v>
      </c>
      <c r="R13" s="7">
        <f t="shared" si="9"/>
        <v>0.43861963379201085</v>
      </c>
      <c r="T13" s="1">
        <f t="shared" si="2"/>
        <v>2.2022221119310957E-3</v>
      </c>
      <c r="U13" s="1">
        <f t="shared" si="3"/>
        <v>4.0143463753696904E-3</v>
      </c>
      <c r="V13" s="7">
        <f t="shared" si="10"/>
        <v>0.54858796576274216</v>
      </c>
      <c r="X13" s="9"/>
    </row>
    <row r="14" spans="1:24">
      <c r="A14" s="151">
        <v>44531</v>
      </c>
      <c r="B14" s="10">
        <v>743.84997599999997</v>
      </c>
      <c r="C14" s="10">
        <v>772</v>
      </c>
      <c r="D14" s="10">
        <v>709.54998799999998</v>
      </c>
      <c r="E14" s="10">
        <v>755.59997599999997</v>
      </c>
      <c r="F14" s="10">
        <v>740.38671899999997</v>
      </c>
      <c r="G14" s="6">
        <f t="shared" si="4"/>
        <v>2.052938504842329E-2</v>
      </c>
      <c r="I14" s="10">
        <v>23811</v>
      </c>
      <c r="J14" s="6">
        <f t="shared" si="5"/>
        <v>2.2946336505970565E-2</v>
      </c>
      <c r="L14" s="1">
        <f t="shared" si="6"/>
        <v>-3.7976607642985672E-4</v>
      </c>
      <c r="M14" s="1">
        <f t="shared" si="7"/>
        <v>1.1333303595259128E-3</v>
      </c>
      <c r="N14" s="7">
        <f t="shared" si="8"/>
        <v>-0.33508859375188532</v>
      </c>
      <c r="P14" s="1">
        <f t="shared" si="0"/>
        <v>2.2840142249988078E-3</v>
      </c>
      <c r="Q14" s="1">
        <f t="shared" si="1"/>
        <v>5.480905243803705E-3</v>
      </c>
      <c r="R14" s="7">
        <f t="shared" si="9"/>
        <v>0.41672207845244919</v>
      </c>
      <c r="T14" s="1">
        <f t="shared" si="2"/>
        <v>2.2370951582836793E-3</v>
      </c>
      <c r="U14" s="1">
        <f t="shared" si="3"/>
        <v>4.0351251970359358E-3</v>
      </c>
      <c r="V14" s="7">
        <f t="shared" si="10"/>
        <v>0.55440538993114075</v>
      </c>
      <c r="X14" s="9"/>
    </row>
    <row r="15" spans="1:24">
      <c r="A15" s="151">
        <v>44501</v>
      </c>
      <c r="B15" s="10">
        <v>786.95001200000002</v>
      </c>
      <c r="C15" s="10">
        <v>810.29998799999998</v>
      </c>
      <c r="D15" s="10">
        <v>730.09997599999997</v>
      </c>
      <c r="E15" s="10">
        <v>740.40002400000003</v>
      </c>
      <c r="F15" s="10">
        <v>725.49279799999999</v>
      </c>
      <c r="G15" s="6">
        <f t="shared" si="4"/>
        <v>-5.9212181958739188E-2</v>
      </c>
      <c r="I15" s="10">
        <v>23276.880859000001</v>
      </c>
      <c r="J15" s="6">
        <f t="shared" si="5"/>
        <v>-2.972931696537074E-2</v>
      </c>
      <c r="L15" s="1">
        <f t="shared" si="6"/>
        <v>-4.1045987456196322E-4</v>
      </c>
      <c r="M15" s="1">
        <f t="shared" si="7"/>
        <v>1.3775134904055553E-3</v>
      </c>
      <c r="N15" s="7">
        <f t="shared" si="8"/>
        <v>-0.29797158243518856</v>
      </c>
      <c r="P15" s="1">
        <f t="shared" si="0"/>
        <v>2.2264818371692577E-3</v>
      </c>
      <c r="Q15" s="1">
        <f t="shared" si="1"/>
        <v>5.4886758566767228E-3</v>
      </c>
      <c r="R15" s="7">
        <f t="shared" si="9"/>
        <v>0.40565008670731478</v>
      </c>
      <c r="T15" s="1">
        <f t="shared" si="2"/>
        <v>2.2180637841303034E-3</v>
      </c>
      <c r="U15" s="1">
        <f t="shared" si="3"/>
        <v>4.0354221631030323E-3</v>
      </c>
      <c r="V15" s="7">
        <f t="shared" si="10"/>
        <v>0.54964851122905223</v>
      </c>
      <c r="X15" s="9"/>
    </row>
    <row r="16" spans="1:24">
      <c r="A16" s="151">
        <v>44470</v>
      </c>
      <c r="B16" s="10">
        <v>795</v>
      </c>
      <c r="C16" s="10">
        <v>887.34997599999997</v>
      </c>
      <c r="D16" s="10">
        <v>774.90002400000003</v>
      </c>
      <c r="E16" s="10">
        <v>787</v>
      </c>
      <c r="F16" s="10">
        <v>771.15454099999999</v>
      </c>
      <c r="G16" s="6">
        <f t="shared" si="4"/>
        <v>-9.8760097555354864E-3</v>
      </c>
      <c r="I16" s="10">
        <v>23990.089843999998</v>
      </c>
      <c r="J16" s="6">
        <f t="shared" si="5"/>
        <v>2.1953293052260864E-3</v>
      </c>
      <c r="L16" s="1">
        <f t="shared" si="6"/>
        <v>1.7439813958769132E-4</v>
      </c>
      <c r="M16" s="1">
        <f t="shared" si="7"/>
        <v>1.6534902530695248E-3</v>
      </c>
      <c r="N16" s="7">
        <f t="shared" si="8"/>
        <v>0.10547273518180113</v>
      </c>
      <c r="P16" s="1">
        <f t="shared" si="0"/>
        <v>2.0605475257862334E-3</v>
      </c>
      <c r="Q16" s="1">
        <f t="shared" si="1"/>
        <v>5.38196033139957E-3</v>
      </c>
      <c r="R16" s="7">
        <f t="shared" si="9"/>
        <v>0.38286189397653758</v>
      </c>
      <c r="T16" s="1">
        <f t="shared" si="2"/>
        <v>2.0807973665396043E-3</v>
      </c>
      <c r="U16" s="1">
        <f t="shared" si="3"/>
        <v>3.9896796621799327E-3</v>
      </c>
      <c r="V16" s="7">
        <f t="shared" si="10"/>
        <v>0.52154497170899972</v>
      </c>
      <c r="X16" s="9"/>
    </row>
    <row r="17" spans="1:38">
      <c r="A17" s="151">
        <v>44440</v>
      </c>
      <c r="B17" s="10">
        <v>795</v>
      </c>
      <c r="C17" s="10">
        <v>845</v>
      </c>
      <c r="D17" s="10">
        <v>779.40002400000003</v>
      </c>
      <c r="E17" s="10">
        <v>794.84997599999997</v>
      </c>
      <c r="F17" s="10">
        <v>778.84643600000004</v>
      </c>
      <c r="G17" s="6">
        <f t="shared" si="4"/>
        <v>2.5856968857033771E-3</v>
      </c>
      <c r="I17" s="10">
        <v>23937.539063</v>
      </c>
      <c r="J17" s="6">
        <f t="shared" si="5"/>
        <v>3.2937818367737147E-2</v>
      </c>
      <c r="L17" s="1">
        <f t="shared" si="6"/>
        <v>2.0309040635820081E-4</v>
      </c>
      <c r="M17" s="1">
        <f t="shared" si="7"/>
        <v>1.5440437784899016E-3</v>
      </c>
      <c r="N17" s="7">
        <f t="shared" si="8"/>
        <v>0.13153150784158874</v>
      </c>
      <c r="P17" s="1">
        <f t="shared" si="0"/>
        <v>2.1080594579507765E-3</v>
      </c>
      <c r="Q17" s="1">
        <f t="shared" si="1"/>
        <v>5.3766878484818167E-3</v>
      </c>
      <c r="R17" s="7">
        <f t="shared" si="9"/>
        <v>0.39207399003942855</v>
      </c>
      <c r="T17" s="1">
        <f t="shared" si="2"/>
        <v>2.0169174034198652E-3</v>
      </c>
      <c r="U17" s="1">
        <f t="shared" si="3"/>
        <v>4.0727469181478021E-3</v>
      </c>
      <c r="V17" s="7">
        <f t="shared" si="10"/>
        <v>0.49522286652103492</v>
      </c>
      <c r="X17" s="9"/>
    </row>
    <row r="18" spans="1:38">
      <c r="A18" s="151">
        <v>44409</v>
      </c>
      <c r="B18" s="10">
        <v>918.29998799999998</v>
      </c>
      <c r="C18" s="10">
        <v>929.15002400000003</v>
      </c>
      <c r="D18" s="10">
        <v>765</v>
      </c>
      <c r="E18" s="10">
        <v>792.79998799999998</v>
      </c>
      <c r="F18" s="10">
        <v>776.83776899999998</v>
      </c>
      <c r="G18" s="6">
        <f t="shared" si="4"/>
        <v>-0.12777293682981994</v>
      </c>
      <c r="I18" s="10">
        <v>23174.230468999998</v>
      </c>
      <c r="J18" s="6">
        <f t="shared" si="5"/>
        <v>6.5301631787086464E-2</v>
      </c>
      <c r="L18" s="1">
        <f t="shared" si="6"/>
        <v>1.6003648235086572E-4</v>
      </c>
      <c r="M18" s="1">
        <f t="shared" si="7"/>
        <v>1.7032192407622807E-3</v>
      </c>
      <c r="N18" s="7">
        <f t="shared" si="8"/>
        <v>9.396117570820825E-2</v>
      </c>
      <c r="P18" s="1">
        <f t="shared" si="0"/>
        <v>2.1594750002276882E-3</v>
      </c>
      <c r="Q18" s="1">
        <f t="shared" si="1"/>
        <v>5.3855522311546571E-3</v>
      </c>
      <c r="R18" s="7">
        <f t="shared" si="9"/>
        <v>0.40097559313145847</v>
      </c>
      <c r="T18" s="1">
        <f t="shared" si="2"/>
        <v>2.2483128385862566E-3</v>
      </c>
      <c r="U18" s="1">
        <f t="shared" si="3"/>
        <v>4.3657458430063018E-3</v>
      </c>
      <c r="V18" s="7">
        <f t="shared" si="10"/>
        <v>0.51498940145311867</v>
      </c>
      <c r="X18" s="9"/>
    </row>
    <row r="19" spans="1:38" ht="17" thickBot="1">
      <c r="A19" s="151">
        <v>44378</v>
      </c>
      <c r="B19" s="10">
        <v>900</v>
      </c>
      <c r="C19" s="10">
        <v>924.15002400000003</v>
      </c>
      <c r="D19" s="10">
        <v>852.90002400000003</v>
      </c>
      <c r="E19" s="10">
        <v>915.09997599999997</v>
      </c>
      <c r="F19" s="10">
        <v>890.63708499999996</v>
      </c>
      <c r="G19" s="6">
        <f t="shared" si="4"/>
        <v>1.7456050824677841E-2</v>
      </c>
      <c r="I19" s="10">
        <v>21753.679688</v>
      </c>
      <c r="J19" s="6">
        <f t="shared" si="5"/>
        <v>1.3539049881079271E-2</v>
      </c>
      <c r="L19" s="1">
        <f t="shared" si="6"/>
        <v>4.8783166736367798E-4</v>
      </c>
      <c r="M19" s="1">
        <f t="shared" si="7"/>
        <v>1.6312401045934547E-3</v>
      </c>
      <c r="N19" s="7">
        <f t="shared" si="8"/>
        <v>0.29905570981854795</v>
      </c>
      <c r="P19" s="1">
        <f t="shared" si="0"/>
        <v>2.4683607825557057E-3</v>
      </c>
      <c r="Q19" s="1">
        <f t="shared" si="1"/>
        <v>5.3376878639652793E-3</v>
      </c>
      <c r="R19" s="7">
        <f t="shared" si="9"/>
        <v>0.46244007620220823</v>
      </c>
      <c r="T19" s="1">
        <f t="shared" si="2"/>
        <v>2.4555612282794784E-3</v>
      </c>
      <c r="U19" s="1">
        <f t="shared" si="3"/>
        <v>4.3000676891607826E-3</v>
      </c>
      <c r="V19" s="7">
        <f t="shared" si="10"/>
        <v>0.57105176145697256</v>
      </c>
      <c r="X19" s="9"/>
    </row>
    <row r="20" spans="1:38">
      <c r="A20" s="151">
        <v>44348</v>
      </c>
      <c r="B20" s="10">
        <v>809.5</v>
      </c>
      <c r="C20" s="10">
        <v>955.95001200000002</v>
      </c>
      <c r="D20" s="10">
        <v>786</v>
      </c>
      <c r="E20" s="10">
        <v>899.40002400000003</v>
      </c>
      <c r="F20" s="10">
        <v>875.35681199999999</v>
      </c>
      <c r="G20" s="6">
        <f t="shared" si="4"/>
        <v>0.12074767621592329</v>
      </c>
      <c r="I20" s="10">
        <v>21463.089843999998</v>
      </c>
      <c r="J20" s="6">
        <f t="shared" si="5"/>
        <v>1.9373387548550759E-2</v>
      </c>
      <c r="L20" s="1">
        <f t="shared" si="6"/>
        <v>5.2798215328003501E-4</v>
      </c>
      <c r="M20" s="1">
        <f t="shared" si="7"/>
        <v>1.6537605179464893E-3</v>
      </c>
      <c r="N20" s="7">
        <f t="shared" si="8"/>
        <v>0.31926155422771979</v>
      </c>
      <c r="P20" s="1">
        <f t="shared" si="0"/>
        <v>2.954151643406816E-3</v>
      </c>
      <c r="Q20" s="1">
        <f t="shared" si="1"/>
        <v>5.6288775853272147E-3</v>
      </c>
      <c r="R20" s="7">
        <f t="shared" si="9"/>
        <v>0.52482072999906726</v>
      </c>
      <c r="T20" s="1">
        <f t="shared" si="2"/>
        <v>2.518609765418723E-3</v>
      </c>
      <c r="U20" s="1">
        <f t="shared" si="3"/>
        <v>4.3493365436229553E-3</v>
      </c>
      <c r="V20" s="7">
        <f t="shared" si="10"/>
        <v>0.57907907106235224</v>
      </c>
      <c r="X20" s="9"/>
      <c r="Z20" s="253"/>
      <c r="AA20" s="254"/>
      <c r="AB20" s="254"/>
      <c r="AC20" s="254"/>
      <c r="AD20" s="254"/>
      <c r="AE20" s="254"/>
      <c r="AF20" s="254"/>
      <c r="AG20" s="254"/>
      <c r="AH20" s="254"/>
      <c r="AI20" s="254"/>
      <c r="AJ20" s="255"/>
    </row>
    <row r="21" spans="1:38">
      <c r="A21" s="151">
        <v>44317</v>
      </c>
      <c r="B21" s="10">
        <v>744.90002400000003</v>
      </c>
      <c r="C21" s="10">
        <v>851.79998799999998</v>
      </c>
      <c r="D21" s="10">
        <v>720.75</v>
      </c>
      <c r="E21" s="10">
        <v>802.5</v>
      </c>
      <c r="F21" s="10">
        <v>781.04718000000003</v>
      </c>
      <c r="G21" s="6">
        <f t="shared" si="4"/>
        <v>8.2776672793065775E-2</v>
      </c>
      <c r="I21" s="10">
        <v>21055.179688</v>
      </c>
      <c r="J21" s="6">
        <f t="shared" si="5"/>
        <v>6.9359750239199394E-2</v>
      </c>
      <c r="L21" s="1">
        <f t="shared" si="6"/>
        <v>1.2127822272014043E-3</v>
      </c>
      <c r="M21" s="1">
        <f t="shared" si="7"/>
        <v>1.7426907123008332E-3</v>
      </c>
      <c r="N21" s="7">
        <f t="shared" si="8"/>
        <v>0.69592511088797659</v>
      </c>
      <c r="P21" s="1">
        <f t="shared" si="0"/>
        <v>3.0469141858504635E-3</v>
      </c>
      <c r="Q21" s="1">
        <f t="shared" si="1"/>
        <v>5.6702699203629884E-3</v>
      </c>
      <c r="R21" s="7">
        <f t="shared" si="9"/>
        <v>0.53734905544944711</v>
      </c>
      <c r="T21" s="1">
        <f t="shared" si="2"/>
        <v>2.6267405949052494E-3</v>
      </c>
      <c r="U21" s="1">
        <f t="shared" si="3"/>
        <v>4.3716037522836346E-3</v>
      </c>
      <c r="V21" s="7">
        <f t="shared" si="10"/>
        <v>0.60086429231677163</v>
      </c>
      <c r="X21" s="9"/>
      <c r="Z21" s="256" t="s">
        <v>32</v>
      </c>
      <c r="AA21" s="18">
        <v>77</v>
      </c>
      <c r="AB21" s="18">
        <v>79</v>
      </c>
      <c r="AC21" s="18">
        <v>74</v>
      </c>
      <c r="AD21" s="18">
        <v>86</v>
      </c>
      <c r="AE21" s="18">
        <v>96</v>
      </c>
      <c r="AF21" s="18">
        <v>100</v>
      </c>
      <c r="AG21" s="18">
        <v>117</v>
      </c>
      <c r="AH21" s="18">
        <v>150</v>
      </c>
      <c r="AI21" s="18">
        <v>178</v>
      </c>
      <c r="AJ21" s="257">
        <v>215</v>
      </c>
    </row>
    <row r="22" spans="1:38">
      <c r="A22" s="151">
        <v>44287</v>
      </c>
      <c r="B22" s="10">
        <v>774</v>
      </c>
      <c r="C22" s="10">
        <v>777</v>
      </c>
      <c r="D22" s="10">
        <v>712.20001200000002</v>
      </c>
      <c r="E22" s="10">
        <v>741.15002400000003</v>
      </c>
      <c r="F22" s="10">
        <v>721.33727999999996</v>
      </c>
      <c r="G22" s="6">
        <f t="shared" si="4"/>
        <v>-4.2627356212469505E-2</v>
      </c>
      <c r="H22" s="150">
        <f>AVERAGE(E22:E34)</f>
        <v>753.80770153846163</v>
      </c>
      <c r="I22" s="10">
        <v>19689.519531000002</v>
      </c>
      <c r="J22" s="6">
        <f t="shared" si="5"/>
        <v>4.4674287756608574E-3</v>
      </c>
      <c r="L22" s="1">
        <f t="shared" si="6"/>
        <v>7.3574010116557627E-4</v>
      </c>
      <c r="M22" s="1">
        <f t="shared" si="7"/>
        <v>2.0693323090536825E-3</v>
      </c>
      <c r="N22" s="7">
        <f t="shared" si="8"/>
        <v>0.35554468363857639</v>
      </c>
      <c r="P22" s="1">
        <f t="shared" si="0"/>
        <v>2.9239766848314086E-3</v>
      </c>
      <c r="Q22" s="1">
        <f t="shared" si="1"/>
        <v>5.5397630773633896E-3</v>
      </c>
      <c r="R22" s="7">
        <f t="shared" si="9"/>
        <v>0.52781619791275514</v>
      </c>
      <c r="T22" s="1">
        <f t="shared" si="2"/>
        <v>2.5727595724136906E-3</v>
      </c>
      <c r="U22" s="1">
        <f t="shared" si="3"/>
        <v>4.299254924734707E-3</v>
      </c>
      <c r="V22" s="7">
        <f t="shared" si="10"/>
        <v>0.59841986982719975</v>
      </c>
      <c r="W22" s="7">
        <f>AVERAGE(V22:V34)</f>
        <v>0.65380630535688922</v>
      </c>
      <c r="X22" s="9"/>
      <c r="Z22" s="256" t="s">
        <v>33</v>
      </c>
      <c r="AA22" s="163">
        <f>H118</f>
        <v>248.42307230769228</v>
      </c>
      <c r="AB22" s="163">
        <f>H106</f>
        <v>208.45769092307688</v>
      </c>
      <c r="AC22" s="163">
        <f>H94</f>
        <v>274.38846292307693</v>
      </c>
      <c r="AD22" s="163">
        <f>H82</f>
        <v>202.011538</v>
      </c>
      <c r="AE22" s="163">
        <f>H70</f>
        <v>279.3730750769231</v>
      </c>
      <c r="AF22" s="163">
        <f>H58</f>
        <v>478.25769276923074</v>
      </c>
      <c r="AG22" s="163">
        <f>H46</f>
        <v>435.27692123076918</v>
      </c>
      <c r="AH22" s="163">
        <f>H34</f>
        <v>486.15000553846153</v>
      </c>
      <c r="AI22" s="163">
        <f>H22</f>
        <v>753.80770153846163</v>
      </c>
      <c r="AJ22" s="258">
        <f>H10</f>
        <v>806.42308153846159</v>
      </c>
    </row>
    <row r="23" spans="1:38">
      <c r="A23" s="151">
        <v>44256</v>
      </c>
      <c r="B23" s="10">
        <v>780</v>
      </c>
      <c r="C23" s="10">
        <v>796.09997599999997</v>
      </c>
      <c r="D23" s="10">
        <v>725.54998799999998</v>
      </c>
      <c r="E23" s="10">
        <v>774.15002400000003</v>
      </c>
      <c r="F23" s="10">
        <v>753.45507799999996</v>
      </c>
      <c r="G23" s="6">
        <f t="shared" si="4"/>
        <v>1.1442734503890909E-2</v>
      </c>
      <c r="I23" s="10">
        <v>19601.949218999998</v>
      </c>
      <c r="J23" s="6">
        <f t="shared" si="5"/>
        <v>1.1909361502226148E-2</v>
      </c>
      <c r="L23" s="1">
        <f t="shared" si="6"/>
        <v>1.0394695285853128E-3</v>
      </c>
      <c r="M23" s="1">
        <f t="shared" si="7"/>
        <v>2.8799842891450004E-3</v>
      </c>
      <c r="N23" s="7">
        <f t="shared" si="8"/>
        <v>0.3609288885717869</v>
      </c>
      <c r="P23" s="1">
        <f t="shared" si="0"/>
        <v>2.9914949711610031E-3</v>
      </c>
      <c r="Q23" s="1">
        <f t="shared" si="1"/>
        <v>5.5449125922646539E-3</v>
      </c>
      <c r="R23" s="7">
        <f t="shared" si="9"/>
        <v>0.5395026380279182</v>
      </c>
      <c r="T23" s="1">
        <f t="shared" si="2"/>
        <v>2.3956401160918125E-3</v>
      </c>
      <c r="U23" s="1">
        <f t="shared" si="3"/>
        <v>4.3837688261889095E-3</v>
      </c>
      <c r="V23" s="7">
        <f t="shared" si="10"/>
        <v>0.54647957296016803</v>
      </c>
      <c r="X23" s="9"/>
      <c r="Z23" s="256" t="s">
        <v>34</v>
      </c>
      <c r="AA23" s="19">
        <f>AA22/AA21</f>
        <v>3.226273666333666</v>
      </c>
      <c r="AB23" s="19">
        <f t="shared" ref="AB23:AJ23" si="11">AB22/AB21</f>
        <v>2.6387049483933782</v>
      </c>
      <c r="AC23" s="19">
        <f t="shared" si="11"/>
        <v>3.7079522016632018</v>
      </c>
      <c r="AD23" s="19">
        <f t="shared" si="11"/>
        <v>2.3489713720930232</v>
      </c>
      <c r="AE23" s="19">
        <f t="shared" si="11"/>
        <v>2.9101361987179488</v>
      </c>
      <c r="AF23" s="19">
        <f t="shared" si="11"/>
        <v>4.7825769276923076</v>
      </c>
      <c r="AG23" s="19">
        <f t="shared" si="11"/>
        <v>3.7203155660749503</v>
      </c>
      <c r="AH23" s="19">
        <f t="shared" si="11"/>
        <v>3.2410000369230767</v>
      </c>
      <c r="AI23" s="19">
        <f t="shared" si="11"/>
        <v>4.2348747277441667</v>
      </c>
      <c r="AJ23" s="259">
        <f t="shared" si="11"/>
        <v>3.7508050304114491</v>
      </c>
    </row>
    <row r="24" spans="1:38">
      <c r="A24" s="151">
        <v>44228</v>
      </c>
      <c r="B24" s="10">
        <v>857.45001200000002</v>
      </c>
      <c r="C24" s="10">
        <v>857.45001200000002</v>
      </c>
      <c r="D24" s="10">
        <v>742.25</v>
      </c>
      <c r="E24" s="10">
        <v>771.40002400000003</v>
      </c>
      <c r="F24" s="10">
        <v>744.93102999999996</v>
      </c>
      <c r="G24" s="6">
        <f t="shared" si="4"/>
        <v>-8.7856211964521203E-2</v>
      </c>
      <c r="I24" s="10">
        <v>19371.25</v>
      </c>
      <c r="J24" s="6">
        <f t="shared" si="5"/>
        <v>7.7659296832213495E-2</v>
      </c>
      <c r="L24" s="1">
        <f t="shared" si="6"/>
        <v>4.3629212205539046E-3</v>
      </c>
      <c r="M24" s="1">
        <f t="shared" si="7"/>
        <v>9.9662629864496147E-3</v>
      </c>
      <c r="N24" s="7">
        <f t="shared" si="8"/>
        <v>0.43776902400486961</v>
      </c>
      <c r="P24" s="1">
        <f t="shared" si="0"/>
        <v>3.2605946779676897E-3</v>
      </c>
      <c r="Q24" s="1">
        <f t="shared" si="1"/>
        <v>5.7195558187852101E-3</v>
      </c>
      <c r="R24" s="7">
        <f t="shared" si="9"/>
        <v>0.57007830350368272</v>
      </c>
      <c r="T24" s="1">
        <f t="shared" si="2"/>
        <v>2.4978188826144357E-3</v>
      </c>
      <c r="U24" s="1">
        <f t="shared" si="3"/>
        <v>4.4491974567559432E-3</v>
      </c>
      <c r="V24" s="7">
        <f t="shared" si="10"/>
        <v>0.56140886236046672</v>
      </c>
      <c r="X24" s="9"/>
      <c r="Z24" s="256"/>
      <c r="AA24" s="18"/>
      <c r="AB24" s="18"/>
      <c r="AC24" s="18"/>
      <c r="AD24" s="18"/>
      <c r="AE24" s="18"/>
      <c r="AF24" s="18"/>
      <c r="AG24" s="18"/>
      <c r="AH24" s="18"/>
      <c r="AI24" s="18"/>
      <c r="AJ24" s="257"/>
    </row>
    <row r="25" spans="1:38">
      <c r="A25" s="151">
        <v>44197</v>
      </c>
      <c r="B25" s="10">
        <v>824.90002400000003</v>
      </c>
      <c r="C25" s="10">
        <v>859.5</v>
      </c>
      <c r="D25" s="10">
        <v>803</v>
      </c>
      <c r="E25" s="10">
        <v>845.70001200000002</v>
      </c>
      <c r="F25" s="10">
        <v>816.68158000000005</v>
      </c>
      <c r="G25" s="6">
        <f t="shared" si="4"/>
        <v>3.9007415241427437E-2</v>
      </c>
      <c r="I25" s="10">
        <v>17975.300781000002</v>
      </c>
      <c r="J25" s="6">
        <f t="shared" si="5"/>
        <v>-1.7748473229089026E-2</v>
      </c>
      <c r="L25" s="1">
        <f t="shared" si="6"/>
        <v>5.2668648336037802E-3</v>
      </c>
      <c r="M25" s="1">
        <f t="shared" si="7"/>
        <v>1.0396951051612325E-2</v>
      </c>
      <c r="N25" s="7">
        <f t="shared" si="8"/>
        <v>0.50657782338861856</v>
      </c>
      <c r="P25" s="1">
        <f t="shared" si="0"/>
        <v>3.6042308643428611E-3</v>
      </c>
      <c r="Q25" s="1">
        <f t="shared" si="1"/>
        <v>5.5627121858324797E-3</v>
      </c>
      <c r="R25" s="7">
        <f t="shared" si="9"/>
        <v>0.64792690039265</v>
      </c>
      <c r="T25" s="1">
        <f t="shared" si="2"/>
        <v>2.7034549378830396E-3</v>
      </c>
      <c r="U25" s="1">
        <f t="shared" si="3"/>
        <v>4.3905228423628071E-3</v>
      </c>
      <c r="V25" s="7">
        <f t="shared" si="10"/>
        <v>0.61574783572430891</v>
      </c>
      <c r="X25" s="9"/>
      <c r="Z25" s="256" t="s">
        <v>35</v>
      </c>
      <c r="AA25" s="18">
        <v>1.04</v>
      </c>
      <c r="AB25" s="18">
        <v>0.68</v>
      </c>
      <c r="AC25" s="18">
        <v>1.05</v>
      </c>
      <c r="AD25" s="18">
        <v>1.07</v>
      </c>
      <c r="AE25" s="18">
        <v>0.79</v>
      </c>
      <c r="AF25" s="18">
        <v>0.93</v>
      </c>
      <c r="AG25" s="18">
        <v>0.86</v>
      </c>
      <c r="AH25" s="18">
        <v>0.37</v>
      </c>
      <c r="AI25" s="19">
        <v>0</v>
      </c>
      <c r="AJ25" s="259">
        <v>0</v>
      </c>
    </row>
    <row r="26" spans="1:38">
      <c r="A26" s="151">
        <v>44166</v>
      </c>
      <c r="B26" s="10">
        <v>835</v>
      </c>
      <c r="C26" s="10">
        <v>880</v>
      </c>
      <c r="D26" s="10">
        <v>746.54998799999998</v>
      </c>
      <c r="E26" s="10">
        <v>813.95001200000002</v>
      </c>
      <c r="F26" s="10">
        <v>786.02093500000001</v>
      </c>
      <c r="G26" s="6">
        <f t="shared" si="4"/>
        <v>-1.2136797809357792E-2</v>
      </c>
      <c r="I26" s="10">
        <v>18300.099609000001</v>
      </c>
      <c r="J26" s="6">
        <f t="shared" si="5"/>
        <v>7.6792532688680637E-2</v>
      </c>
      <c r="L26" s="1">
        <f t="shared" si="6"/>
        <v>5.0470210342975705E-3</v>
      </c>
      <c r="M26" s="1">
        <f t="shared" si="7"/>
        <v>1.0315614298076202E-2</v>
      </c>
      <c r="N26" s="7">
        <f t="shared" si="8"/>
        <v>0.48926034732015994</v>
      </c>
      <c r="P26" s="1">
        <f t="shared" si="0"/>
        <v>3.657150667994206E-3</v>
      </c>
      <c r="Q26" s="1">
        <f t="shared" si="1"/>
        <v>5.5622092997293345E-3</v>
      </c>
      <c r="R26" s="7">
        <f t="shared" si="9"/>
        <v>0.65749965003513411</v>
      </c>
      <c r="T26" s="1">
        <f t="shared" si="2"/>
        <v>2.6947951940552205E-3</v>
      </c>
      <c r="U26" s="1">
        <f t="shared" si="3"/>
        <v>4.3797795713971877E-3</v>
      </c>
      <c r="V26" s="7">
        <f t="shared" si="10"/>
        <v>0.61528100903844285</v>
      </c>
      <c r="X26" s="9"/>
      <c r="Z26" s="256" t="s">
        <v>36</v>
      </c>
      <c r="AA26" s="19">
        <f>AA25/AA23</f>
        <v>0.32235331145415663</v>
      </c>
      <c r="AB26" s="19">
        <f t="shared" ref="AB26:AJ26" si="12">AB25/AB23</f>
        <v>0.25770217333848938</v>
      </c>
      <c r="AC26" s="19">
        <f t="shared" si="12"/>
        <v>0.28317517133285119</v>
      </c>
      <c r="AD26" s="19">
        <f t="shared" si="12"/>
        <v>0.45551853577789209</v>
      </c>
      <c r="AE26" s="19">
        <f t="shared" si="12"/>
        <v>0.27146495767037709</v>
      </c>
      <c r="AF26" s="19">
        <f t="shared" si="12"/>
        <v>0.19445583710636608</v>
      </c>
      <c r="AG26" s="19">
        <f t="shared" si="12"/>
        <v>0.23116318622060519</v>
      </c>
      <c r="AH26" s="19">
        <f t="shared" si="12"/>
        <v>0.11416229428718816</v>
      </c>
      <c r="AI26" s="19">
        <f t="shared" si="12"/>
        <v>0</v>
      </c>
      <c r="AJ26" s="259">
        <f t="shared" si="12"/>
        <v>0</v>
      </c>
    </row>
    <row r="27" spans="1:38">
      <c r="A27" s="151">
        <v>44136</v>
      </c>
      <c r="B27" s="10">
        <v>730</v>
      </c>
      <c r="C27" s="10">
        <v>837</v>
      </c>
      <c r="D27" s="10">
        <v>700.34997599999997</v>
      </c>
      <c r="E27" s="10">
        <v>823.95001200000002</v>
      </c>
      <c r="F27" s="10">
        <v>795.67791699999998</v>
      </c>
      <c r="G27" s="6">
        <f t="shared" si="4"/>
        <v>0.13288879434076023</v>
      </c>
      <c r="I27" s="10">
        <v>16995.009765999999</v>
      </c>
      <c r="J27" s="6">
        <f t="shared" si="5"/>
        <v>0.11698973759304783</v>
      </c>
      <c r="L27" s="1">
        <f t="shared" si="6"/>
        <v>5.2937274813714833E-3</v>
      </c>
      <c r="M27" s="1">
        <f t="shared" si="7"/>
        <v>9.9782048962009581E-3</v>
      </c>
      <c r="N27" s="7">
        <f t="shared" si="8"/>
        <v>0.53052904169035309</v>
      </c>
      <c r="P27" s="1">
        <f t="shared" si="0"/>
        <v>3.7694020609002339E-3</v>
      </c>
      <c r="Q27" s="1">
        <f t="shared" si="1"/>
        <v>5.3747608131692109E-3</v>
      </c>
      <c r="R27" s="7">
        <f t="shared" si="9"/>
        <v>0.70131531279763459</v>
      </c>
      <c r="T27" s="1">
        <f t="shared" si="2"/>
        <v>2.8244919356331232E-3</v>
      </c>
      <c r="U27" s="1">
        <f t="shared" si="3"/>
        <v>4.2637175781897576E-3</v>
      </c>
      <c r="V27" s="7">
        <f t="shared" si="10"/>
        <v>0.66244817669943212</v>
      </c>
      <c r="X27" s="9"/>
      <c r="Z27" s="256"/>
      <c r="AA27" s="17"/>
      <c r="AB27" s="17"/>
      <c r="AC27" s="17"/>
      <c r="AD27" s="17"/>
      <c r="AE27" s="17"/>
      <c r="AF27" s="17"/>
      <c r="AG27" s="17"/>
      <c r="AH27" s="17"/>
      <c r="AI27" s="17"/>
      <c r="AJ27" s="260"/>
    </row>
    <row r="28" spans="1:38">
      <c r="A28" s="151">
        <v>44105</v>
      </c>
      <c r="B28" s="10">
        <v>790.90002400000003</v>
      </c>
      <c r="C28" s="10">
        <v>802.75</v>
      </c>
      <c r="D28" s="10">
        <v>681.65002400000003</v>
      </c>
      <c r="E28" s="10">
        <v>727.29998799999998</v>
      </c>
      <c r="F28" s="10">
        <v>702.34423800000002</v>
      </c>
      <c r="G28" s="6">
        <f t="shared" si="4"/>
        <v>-5.7657356469032604E-2</v>
      </c>
      <c r="I28" s="10">
        <v>15215.009765999999</v>
      </c>
      <c r="J28" s="6">
        <f t="shared" si="5"/>
        <v>2.4510791596525434E-2</v>
      </c>
      <c r="L28" s="1">
        <f t="shared" si="6"/>
        <v>4.4954967400148782E-3</v>
      </c>
      <c r="M28" s="1">
        <f t="shared" si="7"/>
        <v>8.897979142856673E-3</v>
      </c>
      <c r="N28" s="7">
        <f t="shared" si="8"/>
        <v>0.50522671135095631</v>
      </c>
      <c r="P28" s="1">
        <f t="shared" si="0"/>
        <v>3.2288117479197342E-3</v>
      </c>
      <c r="Q28" s="1">
        <f t="shared" si="1"/>
        <v>4.9011805192325899E-3</v>
      </c>
      <c r="R28" s="7">
        <f t="shared" si="9"/>
        <v>0.65878245766497301</v>
      </c>
      <c r="T28" s="1">
        <f t="shared" si="2"/>
        <v>2.4627082786007216E-3</v>
      </c>
      <c r="U28" s="1">
        <f t="shared" si="3"/>
        <v>3.9060479569991828E-3</v>
      </c>
      <c r="V28" s="7">
        <f t="shared" si="10"/>
        <v>0.6304859299507154</v>
      </c>
      <c r="X28" s="9"/>
      <c r="Z28" s="256" t="s">
        <v>37</v>
      </c>
      <c r="AA28" s="20">
        <f>W118</f>
        <v>0.91598498644548298</v>
      </c>
      <c r="AB28" s="20">
        <f>W106</f>
        <v>0.69193778407630735</v>
      </c>
      <c r="AC28" s="20">
        <f>W94</f>
        <v>0.52590738225390465</v>
      </c>
      <c r="AD28" s="20">
        <f>W82</f>
        <v>0.8915874229975288</v>
      </c>
      <c r="AE28" s="20">
        <f>W70</f>
        <v>1.1008590103412406</v>
      </c>
      <c r="AF28" s="20">
        <f>W58</f>
        <v>1.2345040762689179</v>
      </c>
      <c r="AG28" s="20">
        <f>W46</f>
        <v>0.97313564189427604</v>
      </c>
      <c r="AH28" s="20">
        <f>W34</f>
        <v>0.95463213943350944</v>
      </c>
      <c r="AI28" s="20">
        <f>W22</f>
        <v>0.65380630535688922</v>
      </c>
      <c r="AJ28" s="261">
        <f>W11</f>
        <v>0.54986287101744569</v>
      </c>
    </row>
    <row r="29" spans="1:38">
      <c r="A29" s="151">
        <v>44075</v>
      </c>
      <c r="B29" s="10">
        <v>759</v>
      </c>
      <c r="C29" s="10">
        <v>838</v>
      </c>
      <c r="D29" s="10">
        <v>695.75</v>
      </c>
      <c r="E29" s="10">
        <v>771.79998799999998</v>
      </c>
      <c r="F29" s="10">
        <v>745.31726100000003</v>
      </c>
      <c r="G29" s="6">
        <f t="shared" si="4"/>
        <v>1.86760253813417E-2</v>
      </c>
      <c r="I29" s="10">
        <v>14851</v>
      </c>
      <c r="J29" s="6">
        <f t="shared" si="5"/>
        <v>-2.6231976988658509E-3</v>
      </c>
      <c r="L29" s="1">
        <f t="shared" si="6"/>
        <v>4.9511108676141471E-3</v>
      </c>
      <c r="M29" s="1">
        <f t="shared" si="7"/>
        <v>8.9705426071378727E-3</v>
      </c>
      <c r="N29" s="7">
        <f t="shared" si="8"/>
        <v>0.55192992045704592</v>
      </c>
      <c r="P29" s="1">
        <f t="shared" si="0"/>
        <v>3.2541708801359392E-3</v>
      </c>
      <c r="Q29" s="1">
        <f t="shared" si="1"/>
        <v>4.9693030885146735E-3</v>
      </c>
      <c r="R29" s="7">
        <f t="shared" si="9"/>
        <v>0.6548545786344081</v>
      </c>
      <c r="T29" s="1">
        <f t="shared" si="2"/>
        <v>2.7993207084874685E-3</v>
      </c>
      <c r="U29" s="1">
        <f t="shared" si="3"/>
        <v>3.9979543857758164E-3</v>
      </c>
      <c r="V29" s="7">
        <f t="shared" si="10"/>
        <v>0.70018825588582867</v>
      </c>
      <c r="X29" s="9"/>
      <c r="Z29" s="256" t="s">
        <v>38</v>
      </c>
      <c r="AA29" s="19">
        <f>AA28/(1+(1-30%)*AA26)</f>
        <v>0.74734793033838975</v>
      </c>
      <c r="AB29" s="19">
        <f t="shared" ref="AB29:AJ29" si="13">AB28/(1+(1-30%)*AB26)</f>
        <v>0.58619345494162856</v>
      </c>
      <c r="AC29" s="19">
        <f t="shared" si="13"/>
        <v>0.43890623787699246</v>
      </c>
      <c r="AD29" s="19">
        <f t="shared" si="13"/>
        <v>0.67602733556716088</v>
      </c>
      <c r="AE29" s="19">
        <f t="shared" si="13"/>
        <v>0.92507180539559797</v>
      </c>
      <c r="AF29" s="19">
        <f t="shared" si="13"/>
        <v>1.0865974276015935</v>
      </c>
      <c r="AG29" s="19">
        <f t="shared" si="13"/>
        <v>0.83760003662324811</v>
      </c>
      <c r="AH29" s="19">
        <f t="shared" si="13"/>
        <v>0.88398936186067223</v>
      </c>
      <c r="AI29" s="19">
        <f t="shared" si="13"/>
        <v>0.65380630535688922</v>
      </c>
      <c r="AJ29" s="259">
        <f t="shared" si="13"/>
        <v>0.54986287101744569</v>
      </c>
      <c r="AK29" s="145"/>
      <c r="AL29" s="1"/>
    </row>
    <row r="30" spans="1:38">
      <c r="A30" s="151">
        <v>44044</v>
      </c>
      <c r="B30" s="10">
        <v>770</v>
      </c>
      <c r="C30" s="10">
        <v>830.75</v>
      </c>
      <c r="D30" s="10">
        <v>717.75</v>
      </c>
      <c r="E30" s="10">
        <v>757.65002400000003</v>
      </c>
      <c r="F30" s="10">
        <v>731.65289299999995</v>
      </c>
      <c r="G30" s="6">
        <f t="shared" si="4"/>
        <v>-1.3493463014742139E-2</v>
      </c>
      <c r="I30" s="10">
        <v>14890.059569999999</v>
      </c>
      <c r="J30" s="6">
        <f t="shared" si="5"/>
        <v>3.7911129919481826E-2</v>
      </c>
      <c r="L30" s="1">
        <f t="shared" si="6"/>
        <v>4.994559448805197E-3</v>
      </c>
      <c r="M30" s="1">
        <f t="shared" si="7"/>
        <v>9.0675983414398205E-3</v>
      </c>
      <c r="N30" s="7">
        <f t="shared" si="8"/>
        <v>0.5508139267681903</v>
      </c>
      <c r="P30" s="1">
        <f t="shared" si="0"/>
        <v>3.5727018374075319E-3</v>
      </c>
      <c r="Q30" s="1">
        <f t="shared" si="1"/>
        <v>5.3230067506370663E-3</v>
      </c>
      <c r="R30" s="7">
        <f t="shared" si="9"/>
        <v>0.67118115846461124</v>
      </c>
      <c r="T30" s="1">
        <f t="shared" si="2"/>
        <v>2.8178374815147678E-3</v>
      </c>
      <c r="U30" s="1">
        <f t="shared" si="3"/>
        <v>4.0033173734767852E-3</v>
      </c>
      <c r="V30" s="7">
        <f t="shared" si="10"/>
        <v>0.70387561580398594</v>
      </c>
      <c r="X30" s="9"/>
      <c r="Z30" s="262" t="s">
        <v>164</v>
      </c>
      <c r="AA30" s="147">
        <f>AVERAGE(AA29:AJ29)</f>
        <v>0.73854027665796207</v>
      </c>
      <c r="AB30" s="17"/>
      <c r="AC30" s="17"/>
      <c r="AD30" s="17"/>
      <c r="AE30" s="17"/>
      <c r="AF30" s="17"/>
      <c r="AG30" s="17"/>
      <c r="AH30" s="17"/>
      <c r="AI30" s="17"/>
      <c r="AJ30" s="260"/>
    </row>
    <row r="31" spans="1:38" ht="17" thickBot="1">
      <c r="A31" s="151">
        <v>44013</v>
      </c>
      <c r="B31" s="10">
        <v>759.59997599999997</v>
      </c>
      <c r="C31" s="10">
        <v>829.84997599999997</v>
      </c>
      <c r="D31" s="10">
        <v>738</v>
      </c>
      <c r="E31" s="10">
        <v>780.34997599999997</v>
      </c>
      <c r="F31" s="10">
        <v>741.66046100000005</v>
      </c>
      <c r="G31" s="6">
        <f t="shared" si="4"/>
        <v>3.5221520650527229E-2</v>
      </c>
      <c r="I31" s="10">
        <v>14346.179688</v>
      </c>
      <c r="J31" s="6">
        <f t="shared" si="5"/>
        <v>6.7571856208172645E-2</v>
      </c>
      <c r="L31" s="1">
        <f t="shared" si="6"/>
        <v>5.235854471473283E-3</v>
      </c>
      <c r="M31" s="1">
        <f t="shared" si="7"/>
        <v>8.992637524627008E-3</v>
      </c>
      <c r="N31" s="7">
        <f t="shared" si="8"/>
        <v>0.58223790930464003</v>
      </c>
      <c r="P31" s="1">
        <f t="shared" si="0"/>
        <v>3.5955224507691619E-3</v>
      </c>
      <c r="Q31" s="1">
        <f t="shared" si="1"/>
        <v>5.3128873814121446E-3</v>
      </c>
      <c r="R31" s="7">
        <f t="shared" si="9"/>
        <v>0.67675487783697119</v>
      </c>
      <c r="T31" s="1">
        <f t="shared" si="2"/>
        <v>2.8583517552903687E-3</v>
      </c>
      <c r="U31" s="1">
        <f t="shared" si="3"/>
        <v>3.974773893866722E-3</v>
      </c>
      <c r="V31" s="7">
        <f t="shared" si="10"/>
        <v>0.71912310778254596</v>
      </c>
      <c r="X31" s="9"/>
      <c r="Z31" s="263"/>
      <c r="AA31" s="264"/>
      <c r="AB31" s="264"/>
      <c r="AC31" s="264"/>
      <c r="AD31" s="264"/>
      <c r="AE31" s="264"/>
      <c r="AF31" s="264"/>
      <c r="AG31" s="264"/>
      <c r="AH31" s="264"/>
      <c r="AI31" s="264"/>
      <c r="AJ31" s="265"/>
    </row>
    <row r="32" spans="1:38">
      <c r="A32" s="151">
        <v>43983</v>
      </c>
      <c r="B32" s="10">
        <v>661</v>
      </c>
      <c r="C32" s="10">
        <v>769</v>
      </c>
      <c r="D32" s="10">
        <v>617.65002400000003</v>
      </c>
      <c r="E32" s="10">
        <v>753.79998799999998</v>
      </c>
      <c r="F32" s="10">
        <v>716.42681900000002</v>
      </c>
      <c r="G32" s="6">
        <f t="shared" si="4"/>
        <v>0.16977027481291818</v>
      </c>
      <c r="I32" s="10">
        <v>13438.139648</v>
      </c>
      <c r="J32" s="6">
        <f t="shared" si="5"/>
        <v>8.2424682636362934E-2</v>
      </c>
      <c r="L32" s="1">
        <f t="shared" si="6"/>
        <v>6.2485962019008688E-3</v>
      </c>
      <c r="M32" s="1">
        <f t="shared" si="7"/>
        <v>8.9222673851285916E-3</v>
      </c>
      <c r="N32" s="7">
        <f t="shared" si="8"/>
        <v>0.70033724973495748</v>
      </c>
      <c r="P32" s="1">
        <f t="shared" si="0"/>
        <v>3.6980641883283039E-3</v>
      </c>
      <c r="Q32" s="1">
        <f t="shared" si="1"/>
        <v>5.2414068057778547E-3</v>
      </c>
      <c r="R32" s="7">
        <f t="shared" si="9"/>
        <v>0.70554801895013186</v>
      </c>
      <c r="T32" s="1">
        <f t="shared" si="2"/>
        <v>2.9078099344669829E-3</v>
      </c>
      <c r="U32" s="1">
        <f t="shared" si="3"/>
        <v>3.9313725740198254E-3</v>
      </c>
      <c r="V32" s="7">
        <f t="shared" si="10"/>
        <v>0.73964242251752532</v>
      </c>
      <c r="X32" s="9"/>
    </row>
    <row r="33" spans="1:24">
      <c r="A33" s="151">
        <v>43952</v>
      </c>
      <c r="B33" s="10">
        <v>593.90002400000003</v>
      </c>
      <c r="C33" s="10">
        <v>699.90002400000003</v>
      </c>
      <c r="D33" s="10">
        <v>564.45001200000002</v>
      </c>
      <c r="E33" s="10">
        <v>644.40002400000003</v>
      </c>
      <c r="F33" s="10">
        <v>612.45086700000002</v>
      </c>
      <c r="G33" s="6">
        <f t="shared" si="4"/>
        <v>8.5031128568023792E-2</v>
      </c>
      <c r="I33" s="10">
        <v>12414.849609000001</v>
      </c>
      <c r="J33" s="6">
        <f t="shared" si="5"/>
        <v>-2.4066534942221461E-2</v>
      </c>
      <c r="L33" s="1">
        <f t="shared" si="6"/>
        <v>5.3334405811379495E-3</v>
      </c>
      <c r="M33" s="1">
        <f t="shared" si="7"/>
        <v>8.1422511763593573E-3</v>
      </c>
      <c r="N33" s="7">
        <f t="shared" si="8"/>
        <v>0.65503267654323205</v>
      </c>
      <c r="P33" s="1">
        <f t="shared" si="0"/>
        <v>3.2786579339388385E-3</v>
      </c>
      <c r="Q33" s="1">
        <f t="shared" si="1"/>
        <v>4.9350514546898389E-3</v>
      </c>
      <c r="R33" s="7">
        <f t="shared" si="9"/>
        <v>0.66436144871865321</v>
      </c>
      <c r="T33" s="1">
        <f t="shared" si="2"/>
        <v>2.5697204271339859E-3</v>
      </c>
      <c r="U33" s="1">
        <f t="shared" si="3"/>
        <v>3.7441394628657224E-3</v>
      </c>
      <c r="V33" s="7">
        <f t="shared" si="10"/>
        <v>0.68633138605556931</v>
      </c>
      <c r="X33" s="9"/>
    </row>
    <row r="34" spans="1:24">
      <c r="A34" s="151">
        <v>43922</v>
      </c>
      <c r="B34" s="10">
        <v>543.90002400000003</v>
      </c>
      <c r="C34" s="10">
        <v>613.59997599999997</v>
      </c>
      <c r="D34" s="10">
        <v>496.60000600000001</v>
      </c>
      <c r="E34" s="10">
        <v>593.90002400000003</v>
      </c>
      <c r="F34" s="10">
        <v>564.45465100000001</v>
      </c>
      <c r="G34" s="6">
        <f t="shared" si="4"/>
        <v>9.1928745880655693E-2</v>
      </c>
      <c r="H34" s="150">
        <f>AVERAGE(E34:E46)</f>
        <v>486.15000553846153</v>
      </c>
      <c r="I34" s="10">
        <v>12721</v>
      </c>
      <c r="J34" s="6">
        <f t="shared" si="5"/>
        <v>0.1462187630300868</v>
      </c>
      <c r="L34" s="1">
        <f t="shared" si="6"/>
        <v>5.3182794346858702E-3</v>
      </c>
      <c r="M34" s="1">
        <f t="shared" si="7"/>
        <v>8.1987603622568333E-3</v>
      </c>
      <c r="N34" s="7">
        <f t="shared" si="8"/>
        <v>0.64866872547814447</v>
      </c>
      <c r="P34" s="1">
        <f t="shared" si="0"/>
        <v>3.3682128241791266E-3</v>
      </c>
      <c r="Q34" s="1">
        <f t="shared" si="1"/>
        <v>4.9272406284727151E-3</v>
      </c>
      <c r="R34" s="7">
        <f t="shared" si="9"/>
        <v>0.68359008178237957</v>
      </c>
      <c r="T34" s="1">
        <f t="shared" si="2"/>
        <v>2.6885720763760949E-3</v>
      </c>
      <c r="U34" s="1">
        <f t="shared" si="3"/>
        <v>3.7338689761706417E-3</v>
      </c>
      <c r="V34" s="7">
        <f t="shared" si="10"/>
        <v>0.72004992503336951</v>
      </c>
      <c r="W34" s="7">
        <f>AVERAGE(V34:V46)</f>
        <v>0.95463213943350944</v>
      </c>
      <c r="X34" s="9"/>
    </row>
    <row r="35" spans="1:24">
      <c r="A35" s="151">
        <v>43891</v>
      </c>
      <c r="B35" s="10">
        <v>617.79998799999998</v>
      </c>
      <c r="C35" s="10">
        <v>633.45001200000002</v>
      </c>
      <c r="D35" s="10">
        <v>444.20001200000002</v>
      </c>
      <c r="E35" s="10">
        <v>543.90002400000003</v>
      </c>
      <c r="F35" s="10">
        <v>516.93359399999997</v>
      </c>
      <c r="G35" s="6">
        <f t="shared" si="4"/>
        <v>-0.11474610554357401</v>
      </c>
      <c r="I35" s="10">
        <v>11098.230469</v>
      </c>
      <c r="J35" s="6">
        <f t="shared" si="5"/>
        <v>-0.24128256133054732</v>
      </c>
      <c r="L35" s="1">
        <f t="shared" si="6"/>
        <v>4.1547945543719449E-3</v>
      </c>
      <c r="M35" s="1">
        <f t="shared" si="7"/>
        <v>5.7946352068256688E-3</v>
      </c>
      <c r="N35" s="7">
        <f t="shared" si="8"/>
        <v>0.71700709467921153</v>
      </c>
      <c r="P35" s="1">
        <f t="shared" si="0"/>
        <v>2.5432594281944087E-3</v>
      </c>
      <c r="Q35" s="1">
        <f t="shared" si="1"/>
        <v>4.14001735426856E-3</v>
      </c>
      <c r="R35" s="7">
        <f t="shared" si="9"/>
        <v>0.61431129644231663</v>
      </c>
      <c r="T35" s="1">
        <f t="shared" si="2"/>
        <v>2.4688856912298339E-3</v>
      </c>
      <c r="U35" s="1">
        <f t="shared" si="3"/>
        <v>3.1428641673962245E-3</v>
      </c>
      <c r="V35" s="7">
        <f t="shared" si="10"/>
        <v>0.7855527823447862</v>
      </c>
      <c r="X35" s="9"/>
    </row>
    <row r="36" spans="1:24">
      <c r="A36" s="151">
        <v>43862</v>
      </c>
      <c r="B36" s="10">
        <v>614.15002400000003</v>
      </c>
      <c r="C36" s="10">
        <v>643.95001200000002</v>
      </c>
      <c r="D36" s="10">
        <v>579</v>
      </c>
      <c r="E36" s="10">
        <v>614.40002400000003</v>
      </c>
      <c r="F36" s="10">
        <v>583.93823199999997</v>
      </c>
      <c r="G36" s="6">
        <f t="shared" si="4"/>
        <v>-2.5380813479848455E-2</v>
      </c>
      <c r="I36" s="10">
        <v>14627.620117</v>
      </c>
      <c r="J36" s="6">
        <f t="shared" si="5"/>
        <v>-6.531641477347376E-2</v>
      </c>
      <c r="L36" s="1">
        <f t="shared" si="6"/>
        <v>2.2756249624277252E-3</v>
      </c>
      <c r="M36" s="1">
        <f t="shared" si="7"/>
        <v>1.6395467851870562E-3</v>
      </c>
      <c r="N36" s="7">
        <f t="shared" si="8"/>
        <v>1.3879597599699471</v>
      </c>
      <c r="P36" s="1">
        <f t="shared" si="0"/>
        <v>1.4261716973212862E-3</v>
      </c>
      <c r="Q36" s="1">
        <f t="shared" si="1"/>
        <v>1.7316654683218193E-3</v>
      </c>
      <c r="R36" s="7">
        <f t="shared" si="9"/>
        <v>0.82358384076539259</v>
      </c>
      <c r="T36" s="1">
        <f t="shared" si="2"/>
        <v>1.4776361789155177E-3</v>
      </c>
      <c r="U36" s="1">
        <f t="shared" si="3"/>
        <v>1.4881423559760106E-3</v>
      </c>
      <c r="V36" s="7">
        <f t="shared" si="10"/>
        <v>0.99294007255535555</v>
      </c>
      <c r="X36" s="9"/>
    </row>
    <row r="37" spans="1:24">
      <c r="A37" s="151">
        <v>43831</v>
      </c>
      <c r="B37" s="10">
        <v>532.40002400000003</v>
      </c>
      <c r="C37" s="10">
        <v>641.34997599999997</v>
      </c>
      <c r="D37" s="10">
        <v>524</v>
      </c>
      <c r="E37" s="10">
        <v>630.40002400000003</v>
      </c>
      <c r="F37" s="10">
        <v>599.14502000000005</v>
      </c>
      <c r="G37" s="6">
        <f t="shared" si="4"/>
        <v>0.18429456086355395</v>
      </c>
      <c r="I37" s="10">
        <v>15649.809569999999</v>
      </c>
      <c r="J37" s="6">
        <f t="shared" si="5"/>
        <v>-1.1253184640320423E-3</v>
      </c>
      <c r="L37" s="1">
        <f t="shared" si="6"/>
        <v>1.9654565066311615E-3</v>
      </c>
      <c r="M37" s="1">
        <f t="shared" si="7"/>
        <v>1.1937727265811031E-3</v>
      </c>
      <c r="N37" s="7">
        <f t="shared" si="8"/>
        <v>1.6464243677773713</v>
      </c>
      <c r="P37" s="1">
        <f t="shared" si="0"/>
        <v>1.3274872337698006E-3</v>
      </c>
      <c r="Q37" s="1">
        <f t="shared" si="1"/>
        <v>1.6285748117763513E-3</v>
      </c>
      <c r="R37" s="7">
        <f t="shared" si="9"/>
        <v>0.81512204669422439</v>
      </c>
      <c r="T37" s="1">
        <f t="shared" si="2"/>
        <v>1.4096177698125513E-3</v>
      </c>
      <c r="U37" s="1">
        <f t="shared" si="3"/>
        <v>1.3763309999669723E-3</v>
      </c>
      <c r="V37" s="7">
        <f t="shared" si="10"/>
        <v>1.0241851486643676</v>
      </c>
      <c r="X37" s="9"/>
    </row>
    <row r="38" spans="1:24">
      <c r="A38" s="151">
        <v>43800</v>
      </c>
      <c r="B38" s="10">
        <v>473.95001200000002</v>
      </c>
      <c r="C38" s="10">
        <v>534.40002400000003</v>
      </c>
      <c r="D38" s="10">
        <v>473.5</v>
      </c>
      <c r="E38" s="10">
        <v>532.29998799999998</v>
      </c>
      <c r="F38" s="10">
        <v>505.90878300000003</v>
      </c>
      <c r="G38" s="6">
        <f t="shared" si="4"/>
        <v>0.12252220809726701</v>
      </c>
      <c r="I38" s="10">
        <v>15667.440430000001</v>
      </c>
      <c r="J38" s="6">
        <f t="shared" si="5"/>
        <v>6.408827300417465E-3</v>
      </c>
      <c r="L38" s="1">
        <f t="shared" si="6"/>
        <v>2.1412366455151057E-3</v>
      </c>
      <c r="M38" s="1">
        <f t="shared" si="7"/>
        <v>1.2440576744114171E-3</v>
      </c>
      <c r="N38" s="7">
        <f t="shared" si="8"/>
        <v>1.7211715256916507</v>
      </c>
      <c r="P38" s="1">
        <f t="shared" si="0"/>
        <v>1.310418125286163E-3</v>
      </c>
      <c r="Q38" s="1">
        <f t="shared" si="1"/>
        <v>1.6470436797771631E-3</v>
      </c>
      <c r="R38" s="7">
        <f t="shared" si="9"/>
        <v>0.79561831988782239</v>
      </c>
      <c r="T38" s="1">
        <f t="shared" si="2"/>
        <v>1.5212903654760331E-3</v>
      </c>
      <c r="U38" s="1">
        <f t="shared" si="3"/>
        <v>1.4356152135566451E-3</v>
      </c>
      <c r="V38" s="7">
        <f t="shared" si="10"/>
        <v>1.0596783533013232</v>
      </c>
      <c r="X38" s="9"/>
    </row>
    <row r="39" spans="1:24">
      <c r="A39" s="151">
        <v>43770</v>
      </c>
      <c r="B39" s="10">
        <v>479.35000600000001</v>
      </c>
      <c r="C39" s="10">
        <v>498.25</v>
      </c>
      <c r="D39" s="10">
        <v>457</v>
      </c>
      <c r="E39" s="10">
        <v>474.20001200000002</v>
      </c>
      <c r="F39" s="10">
        <v>450.68933099999998</v>
      </c>
      <c r="G39" s="6">
        <f t="shared" si="4"/>
        <v>-2.3142805575304248E-3</v>
      </c>
      <c r="I39" s="10">
        <v>15567.669921999999</v>
      </c>
      <c r="J39" s="6">
        <f t="shared" si="5"/>
        <v>1.1733184835169531E-2</v>
      </c>
      <c r="L39" s="1">
        <f t="shared" si="6"/>
        <v>2.1514592000164267E-3</v>
      </c>
      <c r="M39" s="1">
        <f t="shared" si="7"/>
        <v>1.2441061826291629E-3</v>
      </c>
      <c r="N39" s="7">
        <f t="shared" si="8"/>
        <v>1.7293212026884712</v>
      </c>
      <c r="P39" s="1">
        <f t="shared" si="0"/>
        <v>1.4431386930503273E-3</v>
      </c>
      <c r="Q39" s="1">
        <f t="shared" si="1"/>
        <v>1.6909239703918986E-3</v>
      </c>
      <c r="R39" s="7">
        <f t="shared" si="9"/>
        <v>0.85346160934477555</v>
      </c>
      <c r="T39" s="1">
        <f t="shared" si="2"/>
        <v>1.4736516870989189E-3</v>
      </c>
      <c r="U39" s="1">
        <f t="shared" si="3"/>
        <v>1.4521674539520017E-3</v>
      </c>
      <c r="V39" s="7">
        <f t="shared" si="10"/>
        <v>1.0147945976123132</v>
      </c>
      <c r="X39" s="9"/>
    </row>
    <row r="40" spans="1:24">
      <c r="A40" s="151">
        <v>43739</v>
      </c>
      <c r="B40" s="10">
        <v>419.89999399999999</v>
      </c>
      <c r="C40" s="10">
        <v>484</v>
      </c>
      <c r="D40" s="10">
        <v>400</v>
      </c>
      <c r="E40" s="10">
        <v>475.29998799999998</v>
      </c>
      <c r="F40" s="10">
        <v>451.73477200000002</v>
      </c>
      <c r="G40" s="6">
        <f t="shared" si="4"/>
        <v>0.14378538714031072</v>
      </c>
      <c r="I40" s="10">
        <v>15387.129883</v>
      </c>
      <c r="J40" s="6">
        <f t="shared" si="5"/>
        <v>3.8967561845006708E-2</v>
      </c>
      <c r="L40" s="1">
        <f t="shared" si="6"/>
        <v>2.0355761002815659E-3</v>
      </c>
      <c r="M40" s="1">
        <f t="shared" si="7"/>
        <v>1.3322673143289442E-3</v>
      </c>
      <c r="N40" s="7">
        <f t="shared" si="8"/>
        <v>1.5279036559617727</v>
      </c>
      <c r="P40" s="1">
        <f t="shared" si="0"/>
        <v>1.4436494669056435E-3</v>
      </c>
      <c r="Q40" s="1">
        <f t="shared" si="1"/>
        <v>1.6884170121717931E-3</v>
      </c>
      <c r="R40" s="7">
        <f t="shared" si="9"/>
        <v>0.85503134385544499</v>
      </c>
      <c r="T40" s="1">
        <f t="shared" si="2"/>
        <v>1.6472257166192576E-3</v>
      </c>
      <c r="U40" s="1">
        <f t="shared" si="3"/>
        <v>1.5708466923652388E-3</v>
      </c>
      <c r="V40" s="7">
        <f t="shared" si="10"/>
        <v>1.0486228380052889</v>
      </c>
      <c r="X40" s="9"/>
    </row>
    <row r="41" spans="1:24">
      <c r="A41" s="151">
        <v>43709</v>
      </c>
      <c r="B41" s="10">
        <v>382.10000600000001</v>
      </c>
      <c r="C41" s="10">
        <v>436.95001200000002</v>
      </c>
      <c r="D41" s="10">
        <v>374</v>
      </c>
      <c r="E41" s="10">
        <v>415.54998799999998</v>
      </c>
      <c r="F41" s="10">
        <v>394.94714399999998</v>
      </c>
      <c r="G41" s="6">
        <f t="shared" si="4"/>
        <v>8.7542366132603563E-2</v>
      </c>
      <c r="I41" s="10">
        <v>14810.019531</v>
      </c>
      <c r="J41" s="6">
        <f t="shared" si="5"/>
        <v>4.0462721156715405E-2</v>
      </c>
      <c r="L41" s="1">
        <f t="shared" si="6"/>
        <v>1.5069570014408517E-3</v>
      </c>
      <c r="M41" s="1">
        <f t="shared" si="7"/>
        <v>1.4176061757666262E-3</v>
      </c>
      <c r="N41" s="7">
        <f t="shared" si="8"/>
        <v>1.0630293710634449</v>
      </c>
      <c r="P41" s="1">
        <f t="shared" si="0"/>
        <v>1.7170356258865368E-3</v>
      </c>
      <c r="Q41" s="1">
        <f t="shared" si="1"/>
        <v>1.7935417394919482E-3</v>
      </c>
      <c r="R41" s="7">
        <f t="shared" si="9"/>
        <v>0.95734355553549422</v>
      </c>
      <c r="T41" s="1">
        <f t="shared" si="2"/>
        <v>1.5616152440867451E-3</v>
      </c>
      <c r="U41" s="1">
        <f t="shared" si="3"/>
        <v>1.5437013924354261E-3</v>
      </c>
      <c r="V41" s="7">
        <f t="shared" si="10"/>
        <v>1.0116044798165642</v>
      </c>
      <c r="X41" s="9"/>
    </row>
    <row r="42" spans="1:24">
      <c r="A42" s="151">
        <v>43678</v>
      </c>
      <c r="B42" s="10">
        <v>370</v>
      </c>
      <c r="C42" s="10">
        <v>389</v>
      </c>
      <c r="D42" s="10">
        <v>336.5</v>
      </c>
      <c r="E42" s="10">
        <v>382.10000600000001</v>
      </c>
      <c r="F42" s="10">
        <v>363.15564000000001</v>
      </c>
      <c r="G42" s="6">
        <f t="shared" si="4"/>
        <v>3.3661021986000003E-2</v>
      </c>
      <c r="I42" s="10">
        <v>14234.070313</v>
      </c>
      <c r="J42" s="6">
        <f t="shared" si="5"/>
        <v>-6.2865853723977272E-3</v>
      </c>
      <c r="L42" s="1">
        <f t="shared" si="6"/>
        <v>1.5997903508470739E-3</v>
      </c>
      <c r="M42" s="1">
        <f t="shared" si="7"/>
        <v>1.9166847699688848E-3</v>
      </c>
      <c r="N42" s="7">
        <f t="shared" si="8"/>
        <v>0.83466534294684502</v>
      </c>
      <c r="P42" s="1">
        <f t="shared" si="0"/>
        <v>1.5970826512614767E-3</v>
      </c>
      <c r="Q42" s="1">
        <f t="shared" si="1"/>
        <v>1.7424524871082327E-3</v>
      </c>
      <c r="R42" s="7">
        <f t="shared" si="9"/>
        <v>0.91657170745125383</v>
      </c>
      <c r="T42" s="1">
        <f t="shared" si="2"/>
        <v>1.5493728961599779E-3</v>
      </c>
      <c r="U42" s="1">
        <f t="shared" si="3"/>
        <v>1.520136883907969E-3</v>
      </c>
      <c r="V42" s="7">
        <f t="shared" si="10"/>
        <v>1.0192324866013702</v>
      </c>
      <c r="X42" s="9"/>
    </row>
    <row r="43" spans="1:24">
      <c r="A43" s="151">
        <v>43647</v>
      </c>
      <c r="B43" s="10">
        <v>421.5</v>
      </c>
      <c r="C43" s="10">
        <v>432</v>
      </c>
      <c r="D43" s="10">
        <v>348.60000600000001</v>
      </c>
      <c r="E43" s="10">
        <v>372.89999399999999</v>
      </c>
      <c r="F43" s="10">
        <v>351.32952899999998</v>
      </c>
      <c r="G43" s="6">
        <f t="shared" si="4"/>
        <v>-0.10360562891412416</v>
      </c>
      <c r="I43" s="10">
        <v>14324.120117</v>
      </c>
      <c r="J43" s="6">
        <f t="shared" si="5"/>
        <v>-6.3274852741121185E-2</v>
      </c>
      <c r="L43" s="1">
        <f t="shared" si="6"/>
        <v>1.6117388005648806E-3</v>
      </c>
      <c r="M43" s="1">
        <f t="shared" si="7"/>
        <v>2.0695389193590634E-3</v>
      </c>
      <c r="N43" s="7">
        <f t="shared" si="8"/>
        <v>0.77879124933974975</v>
      </c>
      <c r="P43" s="1">
        <f t="shared" si="0"/>
        <v>1.6096456103738904E-3</v>
      </c>
      <c r="Q43" s="1">
        <f t="shared" si="1"/>
        <v>1.7454912879788247E-3</v>
      </c>
      <c r="R43" s="7">
        <f t="shared" si="9"/>
        <v>0.92217338548722549</v>
      </c>
      <c r="T43" s="1">
        <f t="shared" si="2"/>
        <v>1.5791707024709924E-3</v>
      </c>
      <c r="U43" s="1">
        <f t="shared" si="3"/>
        <v>1.5222528963295585E-3</v>
      </c>
      <c r="V43" s="7">
        <f t="shared" si="10"/>
        <v>1.0373905060576161</v>
      </c>
      <c r="X43" s="9"/>
    </row>
    <row r="44" spans="1:24">
      <c r="A44" s="151">
        <v>43617</v>
      </c>
      <c r="B44" s="10">
        <v>438.20001200000002</v>
      </c>
      <c r="C44" s="10">
        <v>441.39999399999999</v>
      </c>
      <c r="D44" s="10">
        <v>401.39999399999999</v>
      </c>
      <c r="E44" s="10">
        <v>416</v>
      </c>
      <c r="F44" s="10">
        <v>391.93633999999997</v>
      </c>
      <c r="G44" s="6">
        <f t="shared" si="4"/>
        <v>-4.6090437409562333E-2</v>
      </c>
      <c r="I44" s="10">
        <v>15291.700194999999</v>
      </c>
      <c r="J44" s="6">
        <f t="shared" si="5"/>
        <v>-1.4576726896068384E-2</v>
      </c>
      <c r="L44" s="1">
        <f t="shared" si="6"/>
        <v>1.418418206827442E-3</v>
      </c>
      <c r="M44" s="1">
        <f t="shared" si="7"/>
        <v>1.9655912735451354E-3</v>
      </c>
      <c r="N44" s="7">
        <f t="shared" si="8"/>
        <v>0.72162418805878525</v>
      </c>
      <c r="P44" s="1">
        <f t="shared" si="0"/>
        <v>1.4663824518677294E-3</v>
      </c>
      <c r="Q44" s="1">
        <f t="shared" si="1"/>
        <v>1.6541119173666013E-3</v>
      </c>
      <c r="R44" s="7">
        <f t="shared" si="9"/>
        <v>0.88650739800137401</v>
      </c>
      <c r="T44" s="1">
        <f t="shared" si="2"/>
        <v>1.2715337590815542E-3</v>
      </c>
      <c r="U44" s="1">
        <f t="shared" si="3"/>
        <v>1.427105239335506E-3</v>
      </c>
      <c r="V44" s="7">
        <f t="shared" si="10"/>
        <v>0.89098808135103646</v>
      </c>
      <c r="X44" s="9"/>
    </row>
    <row r="45" spans="1:24">
      <c r="A45" s="151">
        <v>43586</v>
      </c>
      <c r="B45" s="10">
        <v>432.89999399999999</v>
      </c>
      <c r="C45" s="10">
        <v>440</v>
      </c>
      <c r="D45" s="10">
        <v>393.60000600000001</v>
      </c>
      <c r="E45" s="10">
        <v>436.10000600000001</v>
      </c>
      <c r="F45" s="10">
        <v>410.87368800000002</v>
      </c>
      <c r="G45" s="6">
        <f t="shared" si="4"/>
        <v>7.3921525976197158E-3</v>
      </c>
      <c r="I45" s="10">
        <v>15517.900390999999</v>
      </c>
      <c r="J45" s="6">
        <f t="shared" si="5"/>
        <v>1.4656339419697538E-2</v>
      </c>
      <c r="L45" s="1">
        <f t="shared" si="6"/>
        <v>1.5795252859183593E-3</v>
      </c>
      <c r="M45" s="1">
        <f t="shared" si="7"/>
        <v>1.9711071576440698E-3</v>
      </c>
      <c r="N45" s="7">
        <f t="shared" si="8"/>
        <v>0.80133912547213226</v>
      </c>
      <c r="P45" s="1">
        <f t="shared" si="0"/>
        <v>1.4155273848336385E-3</v>
      </c>
      <c r="Q45" s="1">
        <f t="shared" si="1"/>
        <v>1.636747230853833E-3</v>
      </c>
      <c r="R45" s="7">
        <f t="shared" si="9"/>
        <v>0.86484177773449356</v>
      </c>
      <c r="T45" s="1">
        <f t="shared" si="2"/>
        <v>1.2796520310340389E-3</v>
      </c>
      <c r="U45" s="1">
        <f t="shared" si="3"/>
        <v>1.4153802077749985E-3</v>
      </c>
      <c r="V45" s="7">
        <f t="shared" si="10"/>
        <v>0.90410479389539677</v>
      </c>
      <c r="X45" s="9"/>
    </row>
    <row r="46" spans="1:24">
      <c r="A46" s="151">
        <v>43556</v>
      </c>
      <c r="B46" s="10">
        <v>502.5</v>
      </c>
      <c r="C46" s="10">
        <v>510.95001200000002</v>
      </c>
      <c r="D46" s="10">
        <v>419.75</v>
      </c>
      <c r="E46" s="10">
        <v>432.89999399999999</v>
      </c>
      <c r="F46" s="10">
        <v>407.85873400000003</v>
      </c>
      <c r="G46" s="6">
        <f t="shared" si="4"/>
        <v>-0.13298626614393727</v>
      </c>
      <c r="H46" s="150">
        <f>AVERAGE(E46:E58)</f>
        <v>435.27692123076918</v>
      </c>
      <c r="I46" s="10">
        <v>15293.75</v>
      </c>
      <c r="J46" s="6">
        <f t="shared" si="5"/>
        <v>-7.0699881007499994E-4</v>
      </c>
      <c r="L46" s="1">
        <f t="shared" si="6"/>
        <v>1.6471856160509514E-3</v>
      </c>
      <c r="M46" s="1">
        <f t="shared" si="7"/>
        <v>2.0057910189612313E-3</v>
      </c>
      <c r="N46" s="7">
        <f t="shared" si="8"/>
        <v>0.82121497228759344</v>
      </c>
      <c r="P46" s="1">
        <f t="shared" si="0"/>
        <v>1.4830045479601029E-3</v>
      </c>
      <c r="Q46" s="1">
        <f t="shared" si="1"/>
        <v>1.6383783803129229E-3</v>
      </c>
      <c r="R46" s="7">
        <f t="shared" si="9"/>
        <v>0.90516608726053605</v>
      </c>
      <c r="T46" s="1">
        <f t="shared" si="2"/>
        <v>1.2886362085501354E-3</v>
      </c>
      <c r="U46" s="1">
        <f t="shared" si="3"/>
        <v>1.4301118107956764E-3</v>
      </c>
      <c r="V46" s="7">
        <f t="shared" si="10"/>
        <v>0.90107374739683621</v>
      </c>
      <c r="W46" s="7">
        <f>AVERAGE(V46:V58)</f>
        <v>0.97313564189427604</v>
      </c>
      <c r="X46" s="9"/>
    </row>
    <row r="47" spans="1:24">
      <c r="A47" s="151">
        <v>43525</v>
      </c>
      <c r="B47" s="10">
        <v>443</v>
      </c>
      <c r="C47" s="10">
        <v>519.90002400000003</v>
      </c>
      <c r="D47" s="10">
        <v>437.04998799999998</v>
      </c>
      <c r="E47" s="10">
        <v>499.29998799999998</v>
      </c>
      <c r="F47" s="10">
        <v>470.41784699999999</v>
      </c>
      <c r="G47" s="6">
        <f t="shared" si="4"/>
        <v>0.12848900737957752</v>
      </c>
      <c r="I47" s="10">
        <v>15304.570313</v>
      </c>
      <c r="J47" s="6">
        <f t="shared" si="5"/>
        <v>7.8029592810758067E-2</v>
      </c>
      <c r="L47" s="1">
        <f t="shared" si="6"/>
        <v>1.1207756459789538E-3</v>
      </c>
      <c r="M47" s="1">
        <f t="shared" si="7"/>
        <v>2.3329159827553559E-3</v>
      </c>
      <c r="N47" s="7">
        <f t="shared" si="8"/>
        <v>0.48041834950919676</v>
      </c>
      <c r="P47" s="1">
        <f t="shared" si="0"/>
        <v>1.5020781806376095E-3</v>
      </c>
      <c r="Q47" s="1">
        <f t="shared" si="1"/>
        <v>1.6510396306232875E-3</v>
      </c>
      <c r="R47" s="7">
        <f t="shared" si="9"/>
        <v>0.90977718086061732</v>
      </c>
      <c r="T47" s="1">
        <f t="shared" si="2"/>
        <v>1.2730693741716164E-3</v>
      </c>
      <c r="U47" s="1">
        <f t="shared" si="3"/>
        <v>1.4284927408038518E-3</v>
      </c>
      <c r="V47" s="7">
        <f t="shared" si="10"/>
        <v>0.89119765036763543</v>
      </c>
      <c r="X47" s="9"/>
    </row>
    <row r="48" spans="1:24">
      <c r="A48" s="151">
        <v>43497</v>
      </c>
      <c r="B48" s="10">
        <v>455</v>
      </c>
      <c r="C48" s="10">
        <v>465</v>
      </c>
      <c r="D48" s="10">
        <v>430</v>
      </c>
      <c r="E48" s="10">
        <v>442.45001200000002</v>
      </c>
      <c r="F48" s="10">
        <v>416.85638399999999</v>
      </c>
      <c r="G48" s="6">
        <f t="shared" si="4"/>
        <v>-7.0451243094008034E-3</v>
      </c>
      <c r="I48" s="10">
        <v>14196.799805000001</v>
      </c>
      <c r="J48" s="6">
        <f t="shared" si="5"/>
        <v>-6.1819996362600825E-3</v>
      </c>
      <c r="L48" s="1">
        <f t="shared" si="6"/>
        <v>4.5436309707576778E-4</v>
      </c>
      <c r="M48" s="1">
        <f t="shared" si="7"/>
        <v>1.9671892318118239E-3</v>
      </c>
      <c r="N48" s="7">
        <f t="shared" si="8"/>
        <v>0.23097071177910503</v>
      </c>
      <c r="P48" s="1">
        <f t="shared" si="0"/>
        <v>1.0995846232765988E-3</v>
      </c>
      <c r="Q48" s="1">
        <f t="shared" si="1"/>
        <v>1.4752025869122997E-3</v>
      </c>
      <c r="R48" s="7">
        <f t="shared" si="9"/>
        <v>0.74537872495065571</v>
      </c>
      <c r="T48" s="1">
        <f t="shared" si="2"/>
        <v>1.3199714691930805E-3</v>
      </c>
      <c r="U48" s="1">
        <f t="shared" si="3"/>
        <v>1.5575358966516668E-3</v>
      </c>
      <c r="V48" s="7">
        <f t="shared" si="10"/>
        <v>0.84747418793409923</v>
      </c>
      <c r="X48" s="9"/>
    </row>
    <row r="49" spans="1:24">
      <c r="A49" s="151">
        <v>43466</v>
      </c>
      <c r="B49" s="10">
        <v>448.25</v>
      </c>
      <c r="C49" s="10">
        <v>474.60000600000001</v>
      </c>
      <c r="D49" s="10">
        <v>412.79998799999998</v>
      </c>
      <c r="E49" s="10">
        <v>448.60000600000001</v>
      </c>
      <c r="F49" s="10">
        <v>419.81402600000001</v>
      </c>
      <c r="G49" s="6">
        <f t="shared" si="4"/>
        <v>-3.2218838244296097E-3</v>
      </c>
      <c r="I49" s="10">
        <v>14285.110352</v>
      </c>
      <c r="J49" s="6">
        <f t="shared" si="5"/>
        <v>-1.7556565001345319E-2</v>
      </c>
      <c r="L49" s="1">
        <f t="shared" si="6"/>
        <v>3.7154785231744179E-4</v>
      </c>
      <c r="M49" s="1">
        <f t="shared" si="7"/>
        <v>2.1170105964609192E-3</v>
      </c>
      <c r="N49" s="7">
        <f t="shared" si="8"/>
        <v>0.17550590107511571</v>
      </c>
      <c r="P49" s="1">
        <f t="shared" si="0"/>
        <v>1.1370539185484565E-3</v>
      </c>
      <c r="Q49" s="1">
        <f t="shared" si="1"/>
        <v>1.5230946710970642E-3</v>
      </c>
      <c r="R49" s="7">
        <f t="shared" si="9"/>
        <v>0.74654185332383327</v>
      </c>
      <c r="T49" s="1">
        <f t="shared" si="2"/>
        <v>1.3676816758859843E-3</v>
      </c>
      <c r="U49" s="1">
        <f t="shared" si="3"/>
        <v>1.7927972129549591E-3</v>
      </c>
      <c r="V49" s="7">
        <f t="shared" si="10"/>
        <v>0.76287583782647528</v>
      </c>
      <c r="X49" s="9"/>
    </row>
    <row r="50" spans="1:24">
      <c r="A50" s="151">
        <v>43435</v>
      </c>
      <c r="B50" s="10">
        <v>406.54998799999998</v>
      </c>
      <c r="C50" s="10">
        <v>454.29998799999998</v>
      </c>
      <c r="D50" s="10">
        <v>399.10000600000001</v>
      </c>
      <c r="E50" s="10">
        <v>450.04998799999998</v>
      </c>
      <c r="F50" s="10">
        <v>421.17099000000002</v>
      </c>
      <c r="G50" s="6">
        <f t="shared" si="4"/>
        <v>0.10631756118852012</v>
      </c>
      <c r="I50" s="10">
        <v>14540.389648</v>
      </c>
      <c r="J50" s="6">
        <f t="shared" si="5"/>
        <v>7.7198453115254213E-3</v>
      </c>
      <c r="L50" s="1">
        <f t="shared" si="6"/>
        <v>3.2863621687136943E-4</v>
      </c>
      <c r="M50" s="1">
        <f t="shared" si="7"/>
        <v>2.1611715274265516E-3</v>
      </c>
      <c r="N50" s="7">
        <f t="shared" si="8"/>
        <v>0.15206392121161161</v>
      </c>
      <c r="P50" s="1">
        <f t="shared" si="0"/>
        <v>1.204859920240064E-3</v>
      </c>
      <c r="Q50" s="1">
        <f t="shared" si="1"/>
        <v>1.579087943887856E-3</v>
      </c>
      <c r="R50" s="7">
        <f t="shared" si="9"/>
        <v>0.76301001784206579</v>
      </c>
      <c r="T50" s="1">
        <f t="shared" si="2"/>
        <v>1.6003273561184231E-3</v>
      </c>
      <c r="U50" s="1">
        <f t="shared" si="3"/>
        <v>1.9049805992960008E-3</v>
      </c>
      <c r="V50" s="7">
        <f t="shared" si="10"/>
        <v>0.84007540901457767</v>
      </c>
      <c r="X50" s="9"/>
    </row>
    <row r="51" spans="1:24">
      <c r="A51" s="151">
        <v>43405</v>
      </c>
      <c r="B51" s="10">
        <v>418.85000600000001</v>
      </c>
      <c r="C51" s="10">
        <v>435</v>
      </c>
      <c r="D51" s="10">
        <v>394.29998799999998</v>
      </c>
      <c r="E51" s="10">
        <v>406.79998799999998</v>
      </c>
      <c r="F51" s="10">
        <v>380.69628899999998</v>
      </c>
      <c r="G51" s="6">
        <f t="shared" si="4"/>
        <v>-3.0042755403436289E-2</v>
      </c>
      <c r="I51" s="10">
        <v>14429</v>
      </c>
      <c r="J51" s="6">
        <f t="shared" si="5"/>
        <v>3.9425261047636398E-2</v>
      </c>
      <c r="L51" s="1">
        <f t="shared" si="6"/>
        <v>6.2879731028527995E-4</v>
      </c>
      <c r="M51" s="1">
        <f t="shared" si="7"/>
        <v>2.2702488679427818E-3</v>
      </c>
      <c r="N51" s="7">
        <f t="shared" si="8"/>
        <v>0.27697285489897572</v>
      </c>
      <c r="P51" s="1">
        <f t="shared" si="0"/>
        <v>1.1274072851596916E-3</v>
      </c>
      <c r="Q51" s="1">
        <f t="shared" si="1"/>
        <v>1.6078050411452625E-3</v>
      </c>
      <c r="R51" s="7">
        <f t="shared" si="9"/>
        <v>0.70120895028207109</v>
      </c>
      <c r="T51" s="1">
        <f t="shared" si="2"/>
        <v>1.6123096337663163E-3</v>
      </c>
      <c r="U51" s="1">
        <f t="shared" si="3"/>
        <v>1.9054763271907174E-3</v>
      </c>
      <c r="V51" s="7">
        <f t="shared" si="10"/>
        <v>0.84614519254793219</v>
      </c>
      <c r="X51" s="9"/>
    </row>
    <row r="52" spans="1:24">
      <c r="A52" s="151">
        <v>43374</v>
      </c>
      <c r="B52" s="10">
        <v>388.60000600000001</v>
      </c>
      <c r="C52" s="10">
        <v>424</v>
      </c>
      <c r="D52" s="10">
        <v>340</v>
      </c>
      <c r="E52" s="10">
        <v>419.39999399999999</v>
      </c>
      <c r="F52" s="10">
        <v>392.48770100000002</v>
      </c>
      <c r="G52" s="6">
        <f t="shared" si="4"/>
        <v>5.575825583636608E-2</v>
      </c>
      <c r="I52" s="10">
        <v>13881.709961</v>
      </c>
      <c r="J52" s="6">
        <f t="shared" si="5"/>
        <v>-3.9054686194291206E-2</v>
      </c>
      <c r="L52" s="1">
        <f t="shared" si="6"/>
        <v>6.8233520240051785E-4</v>
      </c>
      <c r="M52" s="1">
        <f t="shared" si="7"/>
        <v>2.1223249718951205E-3</v>
      </c>
      <c r="N52" s="7">
        <f t="shared" si="8"/>
        <v>0.32150363937490201</v>
      </c>
      <c r="P52" s="1">
        <f t="shared" si="0"/>
        <v>1.4561888357163039E-3</v>
      </c>
      <c r="Q52" s="1">
        <f t="shared" si="1"/>
        <v>1.7521506874178026E-3</v>
      </c>
      <c r="R52" s="7">
        <f t="shared" si="9"/>
        <v>0.8310865304983176</v>
      </c>
      <c r="T52" s="1">
        <f t="shared" si="2"/>
        <v>1.6518406306155454E-3</v>
      </c>
      <c r="U52" s="1">
        <f t="shared" si="3"/>
        <v>1.8875478354032015E-3</v>
      </c>
      <c r="V52" s="7">
        <f t="shared" si="10"/>
        <v>0.87512517544366952</v>
      </c>
      <c r="X52" s="9"/>
    </row>
    <row r="53" spans="1:24">
      <c r="A53" s="151">
        <v>43344</v>
      </c>
      <c r="B53" s="10">
        <v>424.89999399999999</v>
      </c>
      <c r="C53" s="10">
        <v>429.89999399999999</v>
      </c>
      <c r="D53" s="10">
        <v>384.60000600000001</v>
      </c>
      <c r="E53" s="10">
        <v>397.25</v>
      </c>
      <c r="F53" s="10">
        <v>371.75906400000002</v>
      </c>
      <c r="G53" s="6">
        <f t="shared" si="4"/>
        <v>-5.3828794271954278E-2</v>
      </c>
      <c r="I53" s="10">
        <v>14445.889648</v>
      </c>
      <c r="J53" s="6">
        <f t="shared" si="5"/>
        <v>-8.8368853716857834E-2</v>
      </c>
      <c r="L53" s="1">
        <f t="shared" si="6"/>
        <v>1.9437279957285182E-3</v>
      </c>
      <c r="M53" s="1">
        <f t="shared" si="7"/>
        <v>2.3264794185677792E-3</v>
      </c>
      <c r="N53" s="7">
        <f t="shared" si="8"/>
        <v>0.83548041741332513</v>
      </c>
      <c r="P53" s="1">
        <f t="shared" si="0"/>
        <v>1.5488699084331582E-3</v>
      </c>
      <c r="Q53" s="1">
        <f t="shared" si="1"/>
        <v>1.6545788449624412E-3</v>
      </c>
      <c r="R53" s="7">
        <f t="shared" si="9"/>
        <v>0.93611127275612982</v>
      </c>
      <c r="T53" s="1">
        <f t="shared" si="2"/>
        <v>1.7239168355697755E-3</v>
      </c>
      <c r="U53" s="1">
        <f t="shared" si="3"/>
        <v>1.8231089037745968E-3</v>
      </c>
      <c r="V53" s="7">
        <f t="shared" si="10"/>
        <v>0.94559180310103674</v>
      </c>
      <c r="X53" s="9"/>
    </row>
    <row r="54" spans="1:24">
      <c r="A54" s="151">
        <v>43313</v>
      </c>
      <c r="B54" s="10">
        <v>424.25</v>
      </c>
      <c r="C54" s="10">
        <v>444.89999399999999</v>
      </c>
      <c r="D54" s="10">
        <v>402</v>
      </c>
      <c r="E54" s="10">
        <v>419.85000600000001</v>
      </c>
      <c r="F54" s="10">
        <v>392.90887500000002</v>
      </c>
      <c r="G54" s="6">
        <f t="shared" si="4"/>
        <v>-1.7252714419555859E-3</v>
      </c>
      <c r="I54" s="10">
        <v>15846.200194999999</v>
      </c>
      <c r="J54" s="6">
        <f t="shared" si="5"/>
        <v>3.4697827783698655E-2</v>
      </c>
      <c r="L54" s="1">
        <f t="shared" si="6"/>
        <v>1.5499869536287358E-3</v>
      </c>
      <c r="M54" s="1">
        <f t="shared" si="7"/>
        <v>1.4971132543551591E-3</v>
      </c>
      <c r="N54" s="7">
        <f t="shared" si="8"/>
        <v>1.0353171005064348</v>
      </c>
      <c r="P54" s="1">
        <f t="shared" si="0"/>
        <v>1.3320126320316426E-3</v>
      </c>
      <c r="Q54" s="1">
        <f t="shared" si="1"/>
        <v>1.2454765733411601E-3</v>
      </c>
      <c r="R54" s="7">
        <f t="shared" si="9"/>
        <v>1.0694802781061854</v>
      </c>
      <c r="T54" s="1">
        <f t="shared" si="2"/>
        <v>1.5774326776965724E-3</v>
      </c>
      <c r="U54" s="1">
        <f t="shared" si="3"/>
        <v>1.5472337598234423E-3</v>
      </c>
      <c r="V54" s="7">
        <f t="shared" si="10"/>
        <v>1.0195180060423294</v>
      </c>
      <c r="X54" s="9"/>
    </row>
    <row r="55" spans="1:24">
      <c r="A55" s="151">
        <v>43282</v>
      </c>
      <c r="B55" s="10">
        <v>400.89999399999999</v>
      </c>
      <c r="C55" s="10">
        <v>440.20001200000002</v>
      </c>
      <c r="D55" s="10">
        <v>382.60000600000001</v>
      </c>
      <c r="E55" s="10">
        <v>424.35000600000001</v>
      </c>
      <c r="F55" s="10">
        <v>393.58792099999999</v>
      </c>
      <c r="G55" s="6">
        <f t="shared" si="4"/>
        <v>8.1422222890438545E-2</v>
      </c>
      <c r="I55" s="10">
        <v>15314.809569999999</v>
      </c>
      <c r="J55" s="6">
        <f t="shared" si="5"/>
        <v>5.4118963701057392E-2</v>
      </c>
      <c r="L55" s="1">
        <f t="shared" si="6"/>
        <v>1.559020396421895E-3</v>
      </c>
      <c r="M55" s="1">
        <f t="shared" si="7"/>
        <v>1.4822450560802143E-3</v>
      </c>
      <c r="N55" s="7">
        <f t="shared" si="8"/>
        <v>1.0517966580672649</v>
      </c>
      <c r="P55" s="1">
        <f t="shared" si="0"/>
        <v>1.3737965195120413E-3</v>
      </c>
      <c r="Q55" s="1">
        <f t="shared" si="1"/>
        <v>1.2276237572388968E-3</v>
      </c>
      <c r="R55" s="7">
        <f t="shared" si="9"/>
        <v>1.1190696753880913</v>
      </c>
      <c r="T55" s="1">
        <f t="shared" si="2"/>
        <v>2.084948094954409E-3</v>
      </c>
      <c r="U55" s="1">
        <f t="shared" si="3"/>
        <v>1.6825761878529939E-3</v>
      </c>
      <c r="V55" s="7">
        <f t="shared" si="10"/>
        <v>1.239140378906022</v>
      </c>
      <c r="X55" s="9"/>
    </row>
    <row r="56" spans="1:24">
      <c r="A56" s="151">
        <v>43252</v>
      </c>
      <c r="B56" s="10">
        <v>450</v>
      </c>
      <c r="C56" s="10">
        <v>468</v>
      </c>
      <c r="D56" s="10">
        <v>382.14999399999999</v>
      </c>
      <c r="E56" s="10">
        <v>392.39999399999999</v>
      </c>
      <c r="F56" s="10">
        <v>363.953979</v>
      </c>
      <c r="G56" s="6">
        <f t="shared" si="4"/>
        <v>-0.1337749827529808</v>
      </c>
      <c r="I56" s="10">
        <v>14528.540039</v>
      </c>
      <c r="J56" s="6">
        <f t="shared" si="5"/>
        <v>-1.6060907691669724E-2</v>
      </c>
      <c r="L56" s="1">
        <f t="shared" si="6"/>
        <v>1.5305068690061058E-3</v>
      </c>
      <c r="M56" s="1">
        <f t="shared" si="7"/>
        <v>1.4857467678034344E-3</v>
      </c>
      <c r="N56" s="7">
        <f t="shared" si="8"/>
        <v>1.0301263325437657</v>
      </c>
      <c r="P56" s="1">
        <f t="shared" si="0"/>
        <v>1.1679204490162426E-3</v>
      </c>
      <c r="Q56" s="1">
        <f t="shared" si="1"/>
        <v>1.2148578471120667E-3</v>
      </c>
      <c r="R56" s="7">
        <f t="shared" si="9"/>
        <v>0.96136387626963715</v>
      </c>
      <c r="T56" s="1">
        <f t="shared" si="2"/>
        <v>1.9862435185897492E-3</v>
      </c>
      <c r="U56" s="1">
        <f t="shared" si="3"/>
        <v>1.6374974380294709E-3</v>
      </c>
      <c r="V56" s="7">
        <f t="shared" si="10"/>
        <v>1.212975038898352</v>
      </c>
      <c r="X56" s="9"/>
    </row>
    <row r="57" spans="1:24">
      <c r="A57" s="151">
        <v>43221</v>
      </c>
      <c r="B57" s="10">
        <v>472.25</v>
      </c>
      <c r="C57" s="10">
        <v>472.25</v>
      </c>
      <c r="D57" s="10">
        <v>412.5</v>
      </c>
      <c r="E57" s="10">
        <v>453</v>
      </c>
      <c r="F57" s="10">
        <v>420.16101099999997</v>
      </c>
      <c r="G57" s="6">
        <f t="shared" si="4"/>
        <v>-4.0762303285714827E-2</v>
      </c>
      <c r="I57" s="10">
        <v>14765.690430000001</v>
      </c>
      <c r="J57" s="6">
        <f t="shared" si="5"/>
        <v>-1.8743028364379161E-2</v>
      </c>
      <c r="L57" s="1">
        <f t="shared" si="6"/>
        <v>1.2243360384155634E-3</v>
      </c>
      <c r="M57" s="1">
        <f t="shared" si="7"/>
        <v>1.4376572594589237E-3</v>
      </c>
      <c r="N57" s="7">
        <f t="shared" si="8"/>
        <v>0.85161886142205701</v>
      </c>
      <c r="P57" s="1">
        <f t="shared" si="0"/>
        <v>1.0351748699872802E-3</v>
      </c>
      <c r="Q57" s="1">
        <f t="shared" si="1"/>
        <v>1.1843736842543781E-3</v>
      </c>
      <c r="R57" s="7">
        <f t="shared" si="9"/>
        <v>0.87402724642516361</v>
      </c>
      <c r="T57" s="1">
        <f t="shared" si="2"/>
        <v>1.8677279143745663E-3</v>
      </c>
      <c r="U57" s="1">
        <f t="shared" si="3"/>
        <v>1.630913443119835E-3</v>
      </c>
      <c r="V57" s="7">
        <f t="shared" si="10"/>
        <v>1.1452035803946286</v>
      </c>
      <c r="X57" s="9"/>
    </row>
    <row r="58" spans="1:24">
      <c r="A58" s="151">
        <v>43191</v>
      </c>
      <c r="B58" s="10">
        <v>528.59997599999997</v>
      </c>
      <c r="C58" s="10">
        <v>548.40002400000003</v>
      </c>
      <c r="D58" s="10">
        <v>460.20001200000002</v>
      </c>
      <c r="E58" s="10">
        <v>472.25</v>
      </c>
      <c r="F58" s="10">
        <v>438.015533</v>
      </c>
      <c r="G58" s="6">
        <f t="shared" si="4"/>
        <v>-9.3226867451413745E-2</v>
      </c>
      <c r="H58" s="150">
        <f>AVERAGE(E58:E70)</f>
        <v>478.25769276923074</v>
      </c>
      <c r="I58" s="10">
        <v>15047.730469</v>
      </c>
      <c r="J58" s="6">
        <f t="shared" si="5"/>
        <v>6.5286058517939199E-2</v>
      </c>
      <c r="L58" s="1">
        <f t="shared" si="6"/>
        <v>1.1392486962953821E-3</v>
      </c>
      <c r="M58" s="1">
        <f t="shared" si="7"/>
        <v>1.3570307593499475E-3</v>
      </c>
      <c r="N58" s="7">
        <f t="shared" si="8"/>
        <v>0.83951575043229776</v>
      </c>
      <c r="P58" s="1">
        <f t="shared" si="0"/>
        <v>9.2818739720263018E-4</v>
      </c>
      <c r="Q58" s="1">
        <f t="shared" si="1"/>
        <v>1.151120632727619E-3</v>
      </c>
      <c r="R58" s="7">
        <f t="shared" si="9"/>
        <v>0.80633373324501967</v>
      </c>
      <c r="T58" s="1">
        <f t="shared" si="2"/>
        <v>1.8219743005986819E-3</v>
      </c>
      <c r="U58" s="1">
        <f t="shared" si="3"/>
        <v>1.6204439964094754E-3</v>
      </c>
      <c r="V58" s="7">
        <f t="shared" si="10"/>
        <v>1.1243673367519955</v>
      </c>
      <c r="W58" s="7">
        <f>AVERAGE(V58:V70)</f>
        <v>1.2345040762689179</v>
      </c>
      <c r="X58" s="9"/>
    </row>
    <row r="59" spans="1:24">
      <c r="A59" s="151">
        <v>43160</v>
      </c>
      <c r="B59" s="10">
        <v>554.75</v>
      </c>
      <c r="C59" s="10">
        <v>578.20001200000002</v>
      </c>
      <c r="D59" s="10">
        <v>490.5</v>
      </c>
      <c r="E59" s="10">
        <v>523.79998799999998</v>
      </c>
      <c r="F59" s="10">
        <v>483.04864500000002</v>
      </c>
      <c r="G59" s="6">
        <f t="shared" si="4"/>
        <v>-6.1794843764600975E-2</v>
      </c>
      <c r="I59" s="10">
        <v>14125.530273</v>
      </c>
      <c r="J59" s="6">
        <f t="shared" si="5"/>
        <v>-3.7146676921335144E-2</v>
      </c>
      <c r="L59" s="1">
        <f t="shared" si="6"/>
        <v>1.8339139056685937E-3</v>
      </c>
      <c r="M59" s="1">
        <f t="shared" si="7"/>
        <v>1.1168792574686921E-3</v>
      </c>
      <c r="N59" s="7">
        <f t="shared" si="8"/>
        <v>1.6419983569441492</v>
      </c>
      <c r="P59" s="1">
        <f t="shared" si="0"/>
        <v>1.2476184405982602E-3</v>
      </c>
      <c r="Q59" s="1">
        <f t="shared" si="1"/>
        <v>1.0436108126192934E-3</v>
      </c>
      <c r="R59" s="7">
        <f t="shared" si="9"/>
        <v>1.1954824782496656</v>
      </c>
      <c r="T59" s="1">
        <f t="shared" si="2"/>
        <v>2.1939754480059508E-3</v>
      </c>
      <c r="U59" s="1">
        <f t="shared" si="3"/>
        <v>1.5773947730941852E-3</v>
      </c>
      <c r="V59" s="7">
        <f t="shared" si="10"/>
        <v>1.3908854558344286</v>
      </c>
      <c r="X59" s="9"/>
    </row>
    <row r="60" spans="1:24">
      <c r="A60" s="151">
        <v>43132</v>
      </c>
      <c r="B60" s="10">
        <v>554.79998799999998</v>
      </c>
      <c r="C60" s="10">
        <v>565</v>
      </c>
      <c r="D60" s="10">
        <v>503</v>
      </c>
      <c r="E60" s="10">
        <v>558.29998799999998</v>
      </c>
      <c r="F60" s="10">
        <v>514.86462400000005</v>
      </c>
      <c r="G60" s="6">
        <f t="shared" si="4"/>
        <v>1.0497720140685235E-2</v>
      </c>
      <c r="I60" s="10">
        <v>14670.490234000001</v>
      </c>
      <c r="J60" s="6">
        <f t="shared" si="5"/>
        <v>-4.4092773793776387E-2</v>
      </c>
      <c r="L60" s="1">
        <f t="shared" si="6"/>
        <v>1.1709399759519444E-3</v>
      </c>
      <c r="M60" s="1">
        <f t="shared" si="7"/>
        <v>9.426487247180264E-4</v>
      </c>
      <c r="N60" s="7">
        <f t="shared" si="8"/>
        <v>1.2421806185567232</v>
      </c>
      <c r="P60" s="1">
        <f t="shared" si="0"/>
        <v>1.2343598783461354E-3</v>
      </c>
      <c r="Q60" s="1">
        <f t="shared" si="1"/>
        <v>1.2606725758602787E-3</v>
      </c>
      <c r="R60" s="7">
        <f t="shared" si="9"/>
        <v>0.97912804798169928</v>
      </c>
      <c r="T60" s="1">
        <f t="shared" si="2"/>
        <v>2.189654100597327E-3</v>
      </c>
      <c r="U60" s="1">
        <f t="shared" si="3"/>
        <v>1.5633032797888599E-3</v>
      </c>
      <c r="V60" s="7">
        <f t="shared" si="10"/>
        <v>1.4006585471330055</v>
      </c>
      <c r="X60" s="9"/>
    </row>
    <row r="61" spans="1:24">
      <c r="A61" s="151">
        <v>43101</v>
      </c>
      <c r="B61" s="10">
        <v>582</v>
      </c>
      <c r="C61" s="10">
        <v>588</v>
      </c>
      <c r="D61" s="10">
        <v>520.20001200000002</v>
      </c>
      <c r="E61" s="10">
        <v>552.5</v>
      </c>
      <c r="F61" s="10">
        <v>509.51586900000001</v>
      </c>
      <c r="G61" s="6">
        <f t="shared" si="4"/>
        <v>-4.1464248375287373E-2</v>
      </c>
      <c r="I61" s="10">
        <v>15347.190430000001</v>
      </c>
      <c r="J61" s="6">
        <f t="shared" si="5"/>
        <v>2.2959817995247919E-2</v>
      </c>
      <c r="L61" s="1">
        <f t="shared" si="6"/>
        <v>9.61457362727358E-4</v>
      </c>
      <c r="M61" s="1">
        <f t="shared" si="7"/>
        <v>6.2695787016788212E-4</v>
      </c>
      <c r="N61" s="7">
        <f t="shared" si="8"/>
        <v>1.5335278628369495</v>
      </c>
      <c r="P61" s="1">
        <f t="shared" si="0"/>
        <v>1.3218855801514131E-3</v>
      </c>
      <c r="Q61" s="1">
        <f t="shared" si="1"/>
        <v>1.5210588195759391E-3</v>
      </c>
      <c r="R61" s="7">
        <f t="shared" si="9"/>
        <v>0.86905618845163779</v>
      </c>
      <c r="T61" s="1">
        <f t="shared" si="2"/>
        <v>2.1710234462504418E-3</v>
      </c>
      <c r="U61" s="1">
        <f t="shared" si="3"/>
        <v>1.4846957946639109E-3</v>
      </c>
      <c r="V61" s="7">
        <f t="shared" si="10"/>
        <v>1.4622681993531841</v>
      </c>
      <c r="X61" s="9"/>
    </row>
    <row r="62" spans="1:24">
      <c r="A62" s="151">
        <v>43070</v>
      </c>
      <c r="B62" s="10">
        <v>523.65002400000003</v>
      </c>
      <c r="C62" s="10">
        <v>580</v>
      </c>
      <c r="D62" s="10">
        <v>494.35000600000001</v>
      </c>
      <c r="E62" s="10">
        <v>576.40002400000003</v>
      </c>
      <c r="F62" s="10">
        <v>531.55645800000002</v>
      </c>
      <c r="G62" s="6">
        <f t="shared" si="4"/>
        <v>0.11284870883242291</v>
      </c>
      <c r="I62" s="10">
        <v>15002.730469</v>
      </c>
      <c r="J62" s="6">
        <f t="shared" si="5"/>
        <v>3.5129373713044539E-2</v>
      </c>
      <c r="L62" s="1">
        <f t="shared" si="6"/>
        <v>9.8377201482840559E-4</v>
      </c>
      <c r="M62" s="1">
        <f t="shared" si="7"/>
        <v>7.1772941008161381E-4</v>
      </c>
      <c r="N62" s="7">
        <f t="shared" si="8"/>
        <v>1.3706725696478563</v>
      </c>
      <c r="P62" s="1">
        <f t="shared" si="0"/>
        <v>1.8447968975005924E-3</v>
      </c>
      <c r="Q62" s="1">
        <f t="shared" si="1"/>
        <v>1.7660327506064219E-3</v>
      </c>
      <c r="R62" s="7">
        <f t="shared" si="9"/>
        <v>1.0445994825787486</v>
      </c>
      <c r="T62" s="1">
        <f t="shared" si="2"/>
        <v>2.0686390063900883E-3</v>
      </c>
      <c r="U62" s="1">
        <f t="shared" si="3"/>
        <v>1.5642650729205216E-3</v>
      </c>
      <c r="V62" s="7">
        <f t="shared" si="10"/>
        <v>1.3224350797067201</v>
      </c>
      <c r="X62" s="9"/>
    </row>
    <row r="63" spans="1:24">
      <c r="A63" s="151">
        <v>43040</v>
      </c>
      <c r="B63" s="10">
        <v>517.45001200000002</v>
      </c>
      <c r="C63" s="10">
        <v>524.90002400000003</v>
      </c>
      <c r="D63" s="10">
        <v>494</v>
      </c>
      <c r="E63" s="10">
        <v>517.95001200000002</v>
      </c>
      <c r="F63" s="10">
        <v>477.653839</v>
      </c>
      <c r="G63" s="6">
        <f t="shared" si="4"/>
        <v>5.2401475524519901E-3</v>
      </c>
      <c r="I63" s="10">
        <v>14493.580078000001</v>
      </c>
      <c r="J63" s="6">
        <f t="shared" si="5"/>
        <v>5.5294785272019115E-4</v>
      </c>
      <c r="L63" s="1">
        <f t="shared" si="6"/>
        <v>7.9146224058105599E-4</v>
      </c>
      <c r="M63" s="1">
        <f t="shared" si="7"/>
        <v>8.4056893440050508E-4</v>
      </c>
      <c r="N63" s="7">
        <f t="shared" si="8"/>
        <v>0.94157921877701556</v>
      </c>
      <c r="P63" s="1">
        <f t="shared" si="0"/>
        <v>1.8243225471784375E-3</v>
      </c>
      <c r="Q63" s="1">
        <f t="shared" si="1"/>
        <v>1.7518385262376901E-3</v>
      </c>
      <c r="R63" s="7">
        <f t="shared" si="9"/>
        <v>1.0413759715037303</v>
      </c>
      <c r="T63" s="1">
        <f t="shared" si="2"/>
        <v>2.0349391530095403E-3</v>
      </c>
      <c r="U63" s="1">
        <f t="shared" si="3"/>
        <v>1.5829000507469038E-3</v>
      </c>
      <c r="V63" s="7">
        <f t="shared" si="10"/>
        <v>1.2855765290103682</v>
      </c>
      <c r="X63" s="9"/>
    </row>
    <row r="64" spans="1:24">
      <c r="A64" s="151">
        <v>43009</v>
      </c>
      <c r="B64" s="10">
        <v>431.89999399999999</v>
      </c>
      <c r="C64" s="10">
        <v>542.90002400000003</v>
      </c>
      <c r="D64" s="10">
        <v>430.5</v>
      </c>
      <c r="E64" s="10">
        <v>515.25</v>
      </c>
      <c r="F64" s="10">
        <v>475.16390999999999</v>
      </c>
      <c r="G64" s="6">
        <f t="shared" si="4"/>
        <v>0.19298463919884232</v>
      </c>
      <c r="I64" s="10">
        <v>14485.570313</v>
      </c>
      <c r="J64" s="6">
        <f t="shared" si="5"/>
        <v>6.4278112475167987E-2</v>
      </c>
      <c r="L64" s="1">
        <f t="shared" si="6"/>
        <v>1.5484877719675958E-3</v>
      </c>
      <c r="M64" s="1">
        <f t="shared" si="7"/>
        <v>1.3227542372492779E-3</v>
      </c>
      <c r="N64" s="7">
        <f t="shared" si="8"/>
        <v>1.1706541762343852</v>
      </c>
      <c r="P64" s="1">
        <f t="shared" si="0"/>
        <v>1.8040401574596898E-3</v>
      </c>
      <c r="Q64" s="1">
        <f t="shared" si="1"/>
        <v>1.7658637422578243E-3</v>
      </c>
      <c r="R64" s="7">
        <f t="shared" si="9"/>
        <v>1.0216191171992994</v>
      </c>
      <c r="T64" s="1">
        <f t="shared" si="2"/>
        <v>1.9753620834870589E-3</v>
      </c>
      <c r="U64" s="1">
        <f t="shared" si="3"/>
        <v>1.5987936423142936E-3</v>
      </c>
      <c r="V64" s="7">
        <f t="shared" si="10"/>
        <v>1.2355328612813803</v>
      </c>
      <c r="X64" s="9"/>
    </row>
    <row r="65" spans="1:24">
      <c r="A65" s="151">
        <v>42979</v>
      </c>
      <c r="B65" s="10">
        <v>446</v>
      </c>
      <c r="C65" s="10">
        <v>446</v>
      </c>
      <c r="D65" s="10">
        <v>409</v>
      </c>
      <c r="E65" s="10">
        <v>431.89999399999999</v>
      </c>
      <c r="F65" s="10">
        <v>398.29843099999999</v>
      </c>
      <c r="G65" s="6">
        <f t="shared" si="4"/>
        <v>-2.3513588760466171E-2</v>
      </c>
      <c r="I65" s="10">
        <v>13610.700194999999</v>
      </c>
      <c r="J65" s="6">
        <f t="shared" si="5"/>
        <v>-1.1003361346491674E-2</v>
      </c>
      <c r="L65" s="1">
        <f t="shared" si="6"/>
        <v>9.5843794556563222E-4</v>
      </c>
      <c r="M65" s="1">
        <f t="shared" si="7"/>
        <v>1.1053257653776667E-3</v>
      </c>
      <c r="N65" s="7">
        <f t="shared" si="8"/>
        <v>0.86710902395200562</v>
      </c>
      <c r="P65" s="1">
        <f t="shared" si="0"/>
        <v>1.5189968248565989E-3</v>
      </c>
      <c r="Q65" s="1">
        <f t="shared" si="1"/>
        <v>1.650666608615602E-3</v>
      </c>
      <c r="R65" s="7">
        <f t="shared" si="9"/>
        <v>0.92023235759919242</v>
      </c>
      <c r="T65" s="1">
        <f t="shared" si="2"/>
        <v>1.7646831249781257E-3</v>
      </c>
      <c r="U65" s="1">
        <f t="shared" si="3"/>
        <v>1.5418041887620688E-3</v>
      </c>
      <c r="V65" s="7">
        <f t="shared" si="10"/>
        <v>1.144557225775219</v>
      </c>
      <c r="X65" s="9"/>
    </row>
    <row r="66" spans="1:24">
      <c r="A66" s="151">
        <v>42948</v>
      </c>
      <c r="B66" s="10">
        <v>449.54998799999998</v>
      </c>
      <c r="C66" s="10">
        <v>467.5</v>
      </c>
      <c r="D66" s="10">
        <v>387</v>
      </c>
      <c r="E66" s="10">
        <v>442.29998799999998</v>
      </c>
      <c r="F66" s="10">
        <v>407.88937399999998</v>
      </c>
      <c r="G66" s="6">
        <f t="shared" si="4"/>
        <v>-2.0951507954243974E-3</v>
      </c>
      <c r="I66" s="10">
        <v>13762.129883</v>
      </c>
      <c r="J66" s="6">
        <f t="shared" si="5"/>
        <v>-9.7214035775951176E-3</v>
      </c>
      <c r="L66" s="1">
        <f t="shared" si="6"/>
        <v>1.0986481034383452E-3</v>
      </c>
      <c r="M66" s="1">
        <f t="shared" si="7"/>
        <v>1.1068276640362308E-3</v>
      </c>
      <c r="N66" s="7">
        <f t="shared" si="8"/>
        <v>0.99260990589261422</v>
      </c>
      <c r="P66" s="1">
        <f t="shared" ref="P66:P114" si="14">COVAR(G66:G89,J66:J89)</f>
        <v>1.5984500981739659E-3</v>
      </c>
      <c r="Q66" s="1">
        <f t="shared" ref="Q66:Q114" si="15">VAR(J66:J89)</f>
        <v>1.6383797529970739E-3</v>
      </c>
      <c r="R66" s="7">
        <f t="shared" si="9"/>
        <v>0.97562857161163941</v>
      </c>
      <c r="T66" s="1">
        <f t="shared" ref="T66:T102" si="16">COVAR(G66:G101,J66:J101)</f>
        <v>1.7343020108677848E-3</v>
      </c>
      <c r="U66" s="1">
        <f t="shared" ref="U66:U102" si="17">VAR(J66:J101)</f>
        <v>1.530290989592239E-3</v>
      </c>
      <c r="V66" s="7">
        <f t="shared" si="10"/>
        <v>1.1333151816635256</v>
      </c>
      <c r="X66" s="9"/>
    </row>
    <row r="67" spans="1:24">
      <c r="A67" s="151">
        <v>42917</v>
      </c>
      <c r="B67" s="10">
        <v>429</v>
      </c>
      <c r="C67" s="10">
        <v>463.20001200000002</v>
      </c>
      <c r="D67" s="10">
        <v>402.79998799999998</v>
      </c>
      <c r="E67" s="10">
        <v>448.70001200000002</v>
      </c>
      <c r="F67" s="10">
        <v>408.74575800000002</v>
      </c>
      <c r="G67" s="6">
        <f t="shared" ref="G67:G130" si="18">(F67-F68)/F68</f>
        <v>7.3187987295580376E-2</v>
      </c>
      <c r="I67" s="10">
        <v>13897.230469</v>
      </c>
      <c r="J67" s="6">
        <f t="shared" ref="J67:J130" si="19">(I67-I68)/I68</f>
        <v>5.4542094355883454E-2</v>
      </c>
      <c r="L67" s="1">
        <f t="shared" ref="L67:L126" si="20">COVAR(G67:G78,J67:J78)</f>
        <v>1.0050107242753276E-3</v>
      </c>
      <c r="M67" s="1">
        <f t="shared" ref="M67:M126" si="21">VAR(J67:J78)</f>
        <v>1.0581678260513378E-3</v>
      </c>
      <c r="N67" s="7">
        <f t="shared" ref="N67:N126" si="22">L67/M67</f>
        <v>0.94976496122134857</v>
      </c>
      <c r="P67" s="1">
        <f t="shared" si="14"/>
        <v>2.3370107216606636E-3</v>
      </c>
      <c r="Q67" s="1">
        <f t="shared" si="15"/>
        <v>1.8511967225849951E-3</v>
      </c>
      <c r="R67" s="7">
        <f t="shared" ref="R67:R114" si="23">P67/Q67</f>
        <v>1.2624324001596556</v>
      </c>
      <c r="T67" s="1">
        <f t="shared" si="16"/>
        <v>1.7605138296416061E-3</v>
      </c>
      <c r="U67" s="1">
        <f t="shared" si="17"/>
        <v>1.5275732631038128E-3</v>
      </c>
      <c r="V67" s="7">
        <f t="shared" ref="V67:V102" si="24">T67/U67</f>
        <v>1.152490602031415</v>
      </c>
      <c r="X67" s="9"/>
    </row>
    <row r="68" spans="1:24">
      <c r="A68" s="151">
        <v>42887</v>
      </c>
      <c r="B68" s="10">
        <v>416</v>
      </c>
      <c r="C68" s="10">
        <v>444</v>
      </c>
      <c r="D68" s="10">
        <v>400</v>
      </c>
      <c r="E68" s="10">
        <v>418.10000600000001</v>
      </c>
      <c r="F68" s="10">
        <v>380.87060500000001</v>
      </c>
      <c r="G68" s="6">
        <f t="shared" si="18"/>
        <v>1.5915538484166183E-2</v>
      </c>
      <c r="I68" s="10">
        <v>13178.450194999999</v>
      </c>
      <c r="J68" s="6">
        <f t="shared" si="19"/>
        <v>-1.5682976090729641E-3</v>
      </c>
      <c r="L68" s="1">
        <f t="shared" si="20"/>
        <v>6.611028457172316E-4</v>
      </c>
      <c r="M68" s="1">
        <f t="shared" si="21"/>
        <v>1.0307501834050678E-3</v>
      </c>
      <c r="N68" s="7">
        <f t="shared" si="22"/>
        <v>0.64138028434134087</v>
      </c>
      <c r="P68" s="1">
        <f t="shared" si="14"/>
        <v>2.2146121125390683E-3</v>
      </c>
      <c r="Q68" s="1">
        <f t="shared" si="15"/>
        <v>1.7812684968129334E-3</v>
      </c>
      <c r="R68" s="7">
        <f t="shared" si="23"/>
        <v>1.2432781001300357</v>
      </c>
      <c r="T68" s="1">
        <f t="shared" si="16"/>
        <v>1.7113472227108044E-3</v>
      </c>
      <c r="U68" s="1">
        <f t="shared" si="17"/>
        <v>1.4710197267459682E-3</v>
      </c>
      <c r="V68" s="7">
        <f t="shared" si="24"/>
        <v>1.1633747607834348</v>
      </c>
      <c r="X68" s="9"/>
    </row>
    <row r="69" spans="1:24">
      <c r="A69" s="151">
        <v>42856</v>
      </c>
      <c r="B69" s="10">
        <v>348.35000600000001</v>
      </c>
      <c r="C69" s="10">
        <v>436</v>
      </c>
      <c r="D69" s="10">
        <v>340</v>
      </c>
      <c r="E69" s="10">
        <v>411.54998799999998</v>
      </c>
      <c r="F69" s="10">
        <v>374.90380900000002</v>
      </c>
      <c r="G69" s="6">
        <f t="shared" si="18"/>
        <v>0.18142657407128551</v>
      </c>
      <c r="I69" s="10">
        <v>13199.150390999999</v>
      </c>
      <c r="J69" s="6">
        <f t="shared" si="19"/>
        <v>1.6943222641332183E-2</v>
      </c>
      <c r="L69" s="1">
        <f t="shared" si="20"/>
        <v>6.8362305970531021E-4</v>
      </c>
      <c r="M69" s="1">
        <f t="shared" si="21"/>
        <v>1.00738657421785E-3</v>
      </c>
      <c r="N69" s="7">
        <f t="shared" si="22"/>
        <v>0.67861045322753621</v>
      </c>
      <c r="P69" s="1">
        <f t="shared" si="14"/>
        <v>2.1994528131157702E-3</v>
      </c>
      <c r="Q69" s="1">
        <f t="shared" si="15"/>
        <v>1.7933056480262555E-3</v>
      </c>
      <c r="R69" s="7">
        <f t="shared" si="23"/>
        <v>1.2264796107325751</v>
      </c>
      <c r="T69" s="1">
        <f t="shared" si="16"/>
        <v>1.6917200180613325E-3</v>
      </c>
      <c r="U69" s="1">
        <f t="shared" si="17"/>
        <v>1.5495756864298976E-3</v>
      </c>
      <c r="V69" s="7">
        <f t="shared" si="24"/>
        <v>1.0917311318680563</v>
      </c>
      <c r="X69" s="9"/>
    </row>
    <row r="70" spans="1:24">
      <c r="A70" s="151">
        <v>42826</v>
      </c>
      <c r="B70" s="10">
        <v>318.5</v>
      </c>
      <c r="C70" s="10">
        <v>384</v>
      </c>
      <c r="D70" s="10">
        <v>308</v>
      </c>
      <c r="E70" s="10">
        <v>348.35000600000001</v>
      </c>
      <c r="F70" s="10">
        <v>317.33145100000002</v>
      </c>
      <c r="G70" s="6">
        <f t="shared" si="18"/>
        <v>0.11365094402130146</v>
      </c>
      <c r="H70" s="150">
        <f>AVERAGE(E70:E82)</f>
        <v>279.3730750769231</v>
      </c>
      <c r="I70" s="10">
        <v>12979.240234000001</v>
      </c>
      <c r="J70" s="6">
        <f t="shared" si="19"/>
        <v>2.7497037836640554E-2</v>
      </c>
      <c r="L70" s="1">
        <f t="shared" si="20"/>
        <v>6.8054063507523262E-4</v>
      </c>
      <c r="M70" s="1">
        <f t="shared" si="21"/>
        <v>1.0299313273700761E-3</v>
      </c>
      <c r="N70" s="7">
        <f t="shared" si="22"/>
        <v>0.66076311787989717</v>
      </c>
      <c r="P70" s="1">
        <f t="shared" si="14"/>
        <v>2.1548524022155053E-3</v>
      </c>
      <c r="Q70" s="1">
        <f t="shared" si="15"/>
        <v>1.8111625994998693E-3</v>
      </c>
      <c r="R70" s="7">
        <f t="shared" si="23"/>
        <v>1.1897619809566198</v>
      </c>
      <c r="T70" s="1">
        <f t="shared" si="16"/>
        <v>2.0410938444545427E-3</v>
      </c>
      <c r="U70" s="1">
        <f t="shared" si="17"/>
        <v>1.7882996607979618E-3</v>
      </c>
      <c r="V70" s="7">
        <f t="shared" si="24"/>
        <v>1.1413600803031976</v>
      </c>
      <c r="W70" s="7">
        <f>AVERAGE(V70:V82)</f>
        <v>1.1008590103412406</v>
      </c>
      <c r="X70" s="9"/>
    </row>
    <row r="71" spans="1:24">
      <c r="A71" s="151">
        <v>42795</v>
      </c>
      <c r="B71" s="10">
        <v>332.95001200000002</v>
      </c>
      <c r="C71" s="10">
        <v>335</v>
      </c>
      <c r="D71" s="10">
        <v>311</v>
      </c>
      <c r="E71" s="10">
        <v>312.79998799999998</v>
      </c>
      <c r="F71" s="10">
        <v>284.94695999999999</v>
      </c>
      <c r="G71" s="6">
        <f t="shared" si="18"/>
        <v>-5.0970748381611392E-2</v>
      </c>
      <c r="I71" s="10">
        <v>12631.900390999999</v>
      </c>
      <c r="J71" s="6">
        <f t="shared" si="19"/>
        <v>3.7361587976832471E-2</v>
      </c>
      <c r="L71" s="1">
        <f t="shared" si="20"/>
        <v>6.6195578558960995E-4</v>
      </c>
      <c r="M71" s="1">
        <f t="shared" si="21"/>
        <v>1.0238354334826576E-3</v>
      </c>
      <c r="N71" s="7">
        <f t="shared" si="22"/>
        <v>0.64654510279832256</v>
      </c>
      <c r="P71" s="1">
        <f t="shared" si="14"/>
        <v>2.3357456993875468E-3</v>
      </c>
      <c r="Q71" s="1">
        <f t="shared" si="15"/>
        <v>1.8622558727325502E-3</v>
      </c>
      <c r="R71" s="7">
        <f t="shared" si="23"/>
        <v>1.2542560523437787</v>
      </c>
      <c r="T71" s="1">
        <f t="shared" si="16"/>
        <v>2.0083199721210986E-3</v>
      </c>
      <c r="U71" s="1">
        <f t="shared" si="17"/>
        <v>1.7837283526320573E-3</v>
      </c>
      <c r="V71" s="7">
        <f t="shared" si="24"/>
        <v>1.1259113357466317</v>
      </c>
      <c r="X71" s="9"/>
    </row>
    <row r="72" spans="1:24">
      <c r="A72" s="151">
        <v>42767</v>
      </c>
      <c r="B72" s="10">
        <v>315.20001200000002</v>
      </c>
      <c r="C72" s="10">
        <v>358.35000600000001</v>
      </c>
      <c r="D72" s="10">
        <v>313.85000600000001</v>
      </c>
      <c r="E72" s="10">
        <v>329.60000600000001</v>
      </c>
      <c r="F72" s="10">
        <v>300.25097699999998</v>
      </c>
      <c r="G72" s="6">
        <f t="shared" si="18"/>
        <v>5.3035234156694387E-2</v>
      </c>
      <c r="I72" s="10">
        <v>12176.950194999999</v>
      </c>
      <c r="J72" s="6">
        <f t="shared" si="19"/>
        <v>4.4340686653061991E-2</v>
      </c>
      <c r="L72" s="1">
        <f t="shared" si="20"/>
        <v>1.2442242361736763E-3</v>
      </c>
      <c r="M72" s="1">
        <f t="shared" si="21"/>
        <v>1.6561744079387312E-3</v>
      </c>
      <c r="N72" s="7">
        <f t="shared" si="22"/>
        <v>0.75126401555874378</v>
      </c>
      <c r="P72" s="1">
        <f t="shared" si="14"/>
        <v>2.5508273245571302E-3</v>
      </c>
      <c r="Q72" s="1">
        <f t="shared" si="15"/>
        <v>1.8742302675827419E-3</v>
      </c>
      <c r="R72" s="7">
        <f t="shared" si="23"/>
        <v>1.3609999628524931</v>
      </c>
      <c r="T72" s="1">
        <f t="shared" si="16"/>
        <v>2.1597744820405721E-3</v>
      </c>
      <c r="U72" s="1">
        <f t="shared" si="17"/>
        <v>1.8796502662323958E-3</v>
      </c>
      <c r="V72" s="7">
        <f t="shared" si="24"/>
        <v>1.1490299662871126</v>
      </c>
      <c r="X72" s="9"/>
    </row>
    <row r="73" spans="1:24">
      <c r="A73" s="151">
        <v>42736</v>
      </c>
      <c r="B73" s="10">
        <v>298</v>
      </c>
      <c r="C73" s="10">
        <v>347.10000600000001</v>
      </c>
      <c r="D73" s="10">
        <v>293</v>
      </c>
      <c r="E73" s="10">
        <v>313</v>
      </c>
      <c r="F73" s="10">
        <v>285.12908900000002</v>
      </c>
      <c r="G73" s="6">
        <f t="shared" si="18"/>
        <v>7.15505926282234E-2</v>
      </c>
      <c r="I73" s="10">
        <v>11659.940430000001</v>
      </c>
      <c r="J73" s="6">
        <f t="shared" si="19"/>
        <v>5.6494664557347675E-2</v>
      </c>
      <c r="L73" s="1">
        <f t="shared" si="20"/>
        <v>1.7085978050817869E-3</v>
      </c>
      <c r="M73" s="1">
        <f t="shared" si="21"/>
        <v>2.5038149316755974E-3</v>
      </c>
      <c r="N73" s="7">
        <f t="shared" si="22"/>
        <v>0.68239780163718522</v>
      </c>
      <c r="P73" s="1">
        <f t="shared" si="14"/>
        <v>2.4785039469880604E-3</v>
      </c>
      <c r="Q73" s="1">
        <f t="shared" si="15"/>
        <v>1.7994953219292074E-3</v>
      </c>
      <c r="R73" s="7">
        <f t="shared" si="23"/>
        <v>1.3773328092517072</v>
      </c>
      <c r="T73" s="1">
        <f t="shared" si="16"/>
        <v>2.1296246280150051E-3</v>
      </c>
      <c r="U73" s="1">
        <f t="shared" si="17"/>
        <v>1.8585244190217763E-3</v>
      </c>
      <c r="V73" s="7">
        <f t="shared" si="24"/>
        <v>1.1458685214025441</v>
      </c>
      <c r="X73" s="9"/>
    </row>
    <row r="74" spans="1:24">
      <c r="A74" s="151">
        <v>42705</v>
      </c>
      <c r="B74" s="10">
        <v>266.89999399999999</v>
      </c>
      <c r="C74" s="10">
        <v>299.25</v>
      </c>
      <c r="D74" s="10">
        <v>248</v>
      </c>
      <c r="E74" s="10">
        <v>292.10000600000001</v>
      </c>
      <c r="F74" s="10">
        <v>266.09017899999998</v>
      </c>
      <c r="G74" s="6">
        <f t="shared" si="18"/>
        <v>0.10727857213833893</v>
      </c>
      <c r="I74" s="10">
        <v>11036.440430000001</v>
      </c>
      <c r="J74" s="6">
        <f t="shared" si="19"/>
        <v>-1.4171339061207048E-2</v>
      </c>
      <c r="L74" s="1">
        <f t="shared" si="20"/>
        <v>2.5018119605191816E-3</v>
      </c>
      <c r="M74" s="1">
        <f t="shared" si="21"/>
        <v>2.7132653942732034E-3</v>
      </c>
      <c r="N74" s="7">
        <f t="shared" si="22"/>
        <v>0.92206680769218918</v>
      </c>
      <c r="P74" s="1">
        <f t="shared" si="14"/>
        <v>2.1608731007761264E-3</v>
      </c>
      <c r="Q74" s="1">
        <f t="shared" si="15"/>
        <v>1.8380847715734662E-3</v>
      </c>
      <c r="R74" s="7">
        <f t="shared" si="23"/>
        <v>1.1756112308826441</v>
      </c>
      <c r="T74" s="1">
        <f t="shared" si="16"/>
        <v>2.3130136470316497E-3</v>
      </c>
      <c r="U74" s="1">
        <f t="shared" si="17"/>
        <v>1.8846997442220272E-3</v>
      </c>
      <c r="V74" s="7">
        <f t="shared" si="24"/>
        <v>1.227258428894425</v>
      </c>
      <c r="X74" s="9"/>
    </row>
    <row r="75" spans="1:24">
      <c r="A75" s="151">
        <v>42675</v>
      </c>
      <c r="B75" s="10">
        <v>285.10000600000001</v>
      </c>
      <c r="C75" s="10">
        <v>293</v>
      </c>
      <c r="D75" s="10">
        <v>229.5</v>
      </c>
      <c r="E75" s="10">
        <v>263.79998799999998</v>
      </c>
      <c r="F75" s="10">
        <v>240.310059</v>
      </c>
      <c r="G75" s="6">
        <f t="shared" si="18"/>
        <v>-7.6006990354720375E-2</v>
      </c>
      <c r="I75" s="10">
        <v>11195.089844</v>
      </c>
      <c r="J75" s="6">
        <f t="shared" si="19"/>
        <v>-5.5535283763383077E-2</v>
      </c>
      <c r="L75" s="1">
        <f t="shared" si="20"/>
        <v>2.6147886217945883E-3</v>
      </c>
      <c r="M75" s="1">
        <f t="shared" si="21"/>
        <v>2.6793736383441528E-3</v>
      </c>
      <c r="N75" s="7">
        <f t="shared" si="22"/>
        <v>0.97589547959071588</v>
      </c>
      <c r="P75" s="1">
        <f t="shared" si="14"/>
        <v>2.2444997679243986E-3</v>
      </c>
      <c r="Q75" s="1">
        <f t="shared" si="15"/>
        <v>1.8628418858521879E-3</v>
      </c>
      <c r="R75" s="7">
        <f t="shared" si="23"/>
        <v>1.2048793754160274</v>
      </c>
      <c r="T75" s="1">
        <f t="shared" si="16"/>
        <v>2.378230656165185E-3</v>
      </c>
      <c r="U75" s="1">
        <f t="shared" si="17"/>
        <v>1.8769472910500154E-3</v>
      </c>
      <c r="V75" s="7">
        <f t="shared" si="24"/>
        <v>1.2670737572149604</v>
      </c>
      <c r="X75" s="9"/>
    </row>
    <row r="76" spans="1:24">
      <c r="A76" s="151">
        <v>42644</v>
      </c>
      <c r="B76" s="10">
        <v>249</v>
      </c>
      <c r="C76" s="10">
        <v>288.95001200000002</v>
      </c>
      <c r="D76" s="10">
        <v>244</v>
      </c>
      <c r="E76" s="10">
        <v>285.5</v>
      </c>
      <c r="F76" s="10">
        <v>260.077789</v>
      </c>
      <c r="G76" s="6">
        <f t="shared" si="18"/>
        <v>0.17080141844824087</v>
      </c>
      <c r="I76" s="10">
        <v>11853.370117</v>
      </c>
      <c r="J76" s="6">
        <f t="shared" si="19"/>
        <v>1.3052242473415954E-2</v>
      </c>
      <c r="L76" s="1">
        <f t="shared" si="20"/>
        <v>2.0095841079337566E-3</v>
      </c>
      <c r="M76" s="1">
        <f t="shared" si="21"/>
        <v>2.3380220154890271E-3</v>
      </c>
      <c r="N76" s="7">
        <f t="shared" si="22"/>
        <v>0.85952317583862714</v>
      </c>
      <c r="P76" s="1">
        <f t="shared" si="14"/>
        <v>1.9765085282490969E-3</v>
      </c>
      <c r="Q76" s="1">
        <f t="shared" si="15"/>
        <v>1.7508067134643591E-3</v>
      </c>
      <c r="R76" s="7">
        <f t="shared" si="23"/>
        <v>1.1289130393715117</v>
      </c>
      <c r="T76" s="1">
        <f t="shared" si="16"/>
        <v>2.1783086597273998E-3</v>
      </c>
      <c r="U76" s="1">
        <f t="shared" si="17"/>
        <v>1.7565665126237492E-3</v>
      </c>
      <c r="V76" s="7">
        <f t="shared" si="24"/>
        <v>1.2400946073335433</v>
      </c>
      <c r="X76" s="9"/>
    </row>
    <row r="77" spans="1:24">
      <c r="A77" s="151">
        <v>42614</v>
      </c>
      <c r="B77" s="10">
        <v>269.89999399999999</v>
      </c>
      <c r="C77" s="10">
        <v>280</v>
      </c>
      <c r="D77" s="10">
        <v>232</v>
      </c>
      <c r="E77" s="10">
        <v>243.85000600000001</v>
      </c>
      <c r="F77" s="10">
        <v>222.136551</v>
      </c>
      <c r="G77" s="6">
        <f t="shared" si="18"/>
        <v>-9.1129239046880653E-2</v>
      </c>
      <c r="I77" s="10">
        <v>11700.650390999999</v>
      </c>
      <c r="J77" s="6">
        <f t="shared" si="19"/>
        <v>-1.1342670780431521E-2</v>
      </c>
      <c r="L77" s="1">
        <f t="shared" si="20"/>
        <v>2.067229839910153E-3</v>
      </c>
      <c r="M77" s="1">
        <f t="shared" si="21"/>
        <v>2.3410251731045099E-3</v>
      </c>
      <c r="N77" s="7">
        <f t="shared" si="22"/>
        <v>0.88304468643057432</v>
      </c>
      <c r="P77" s="1">
        <f t="shared" si="14"/>
        <v>2.0485193552300077E-3</v>
      </c>
      <c r="Q77" s="1">
        <f t="shared" si="15"/>
        <v>1.8029849609687363E-3</v>
      </c>
      <c r="R77" s="7">
        <f t="shared" si="23"/>
        <v>1.136182164342262</v>
      </c>
      <c r="T77" s="1">
        <f t="shared" si="16"/>
        <v>2.0546167012681108E-3</v>
      </c>
      <c r="U77" s="1">
        <f t="shared" si="17"/>
        <v>1.9239881099955276E-3</v>
      </c>
      <c r="V77" s="7">
        <f t="shared" si="24"/>
        <v>1.0678946977863013</v>
      </c>
      <c r="X77" s="9"/>
    </row>
    <row r="78" spans="1:24">
      <c r="A78" s="151">
        <v>42583</v>
      </c>
      <c r="B78" s="10">
        <v>257.35000600000001</v>
      </c>
      <c r="C78" s="10">
        <v>278.70001200000002</v>
      </c>
      <c r="D78" s="10">
        <v>242.949997</v>
      </c>
      <c r="E78" s="10">
        <v>268.29998799999998</v>
      </c>
      <c r="F78" s="10">
        <v>244.40939299999999</v>
      </c>
      <c r="G78" s="6">
        <f t="shared" si="18"/>
        <v>7.0424868325063603E-2</v>
      </c>
      <c r="I78" s="10">
        <v>11834.889648</v>
      </c>
      <c r="J78" s="6">
        <f t="shared" si="19"/>
        <v>2.1485460664280972E-2</v>
      </c>
      <c r="L78" s="1">
        <f t="shared" si="20"/>
        <v>2.0865446622277076E-3</v>
      </c>
      <c r="M78" s="1">
        <f t="shared" si="21"/>
        <v>2.3158155033465447E-3</v>
      </c>
      <c r="N78" s="7">
        <f t="shared" si="22"/>
        <v>0.90099779503698729</v>
      </c>
      <c r="P78" s="1">
        <f t="shared" si="14"/>
        <v>1.9799712593745046E-3</v>
      </c>
      <c r="Q78" s="1">
        <f t="shared" si="15"/>
        <v>1.7882067093143077E-3</v>
      </c>
      <c r="R78" s="7">
        <f t="shared" si="23"/>
        <v>1.1072384691665369</v>
      </c>
      <c r="T78" s="1">
        <f t="shared" si="16"/>
        <v>2.1619815936848256E-3</v>
      </c>
      <c r="U78" s="1">
        <f t="shared" si="17"/>
        <v>1.9390019975947027E-3</v>
      </c>
      <c r="V78" s="7">
        <f t="shared" si="24"/>
        <v>1.1149970945706735</v>
      </c>
      <c r="X78" s="9"/>
    </row>
    <row r="79" spans="1:24">
      <c r="A79" s="151">
        <v>42552</v>
      </c>
      <c r="B79" s="10">
        <v>268</v>
      </c>
      <c r="C79" s="10">
        <v>271</v>
      </c>
      <c r="D79" s="10">
        <v>214.85000600000001</v>
      </c>
      <c r="E79" s="10">
        <v>254.89999399999999</v>
      </c>
      <c r="F79" s="10">
        <v>228.32933</v>
      </c>
      <c r="G79" s="6">
        <f t="shared" si="18"/>
        <v>-4.2269382180061953E-2</v>
      </c>
      <c r="I79" s="10">
        <v>11585.959961</v>
      </c>
      <c r="J79" s="6">
        <f t="shared" si="19"/>
        <v>5.0456709641998714E-2</v>
      </c>
      <c r="L79" s="1">
        <f t="shared" si="20"/>
        <v>3.4313600435829632E-3</v>
      </c>
      <c r="M79" s="1">
        <f t="shared" si="21"/>
        <v>2.7348788329320185E-3</v>
      </c>
      <c r="N79" s="7">
        <f t="shared" si="22"/>
        <v>1.2546662039518068</v>
      </c>
      <c r="P79" s="1">
        <f t="shared" si="14"/>
        <v>2.0238360892514181E-3</v>
      </c>
      <c r="Q79" s="1">
        <f t="shared" si="15"/>
        <v>1.7960317439566667E-3</v>
      </c>
      <c r="R79" s="7">
        <f t="shared" si="23"/>
        <v>1.1268375940799895</v>
      </c>
      <c r="T79" s="1">
        <f t="shared" si="16"/>
        <v>1.8548530348824828E-3</v>
      </c>
      <c r="U79" s="1">
        <f t="shared" si="17"/>
        <v>2.0432839622281959E-3</v>
      </c>
      <c r="V79" s="7">
        <f t="shared" si="24"/>
        <v>0.90778035220311248</v>
      </c>
      <c r="X79" s="9"/>
    </row>
    <row r="80" spans="1:24">
      <c r="A80" s="151">
        <v>42522</v>
      </c>
      <c r="B80" s="10">
        <v>230</v>
      </c>
      <c r="C80" s="10">
        <v>274</v>
      </c>
      <c r="D80" s="10">
        <v>227.5</v>
      </c>
      <c r="E80" s="10">
        <v>266.14999399999999</v>
      </c>
      <c r="F80" s="10">
        <v>238.406631</v>
      </c>
      <c r="G80" s="6">
        <f t="shared" si="18"/>
        <v>0.15391271382934935</v>
      </c>
      <c r="I80" s="10">
        <v>11029.450194999999</v>
      </c>
      <c r="J80" s="6">
        <f t="shared" si="19"/>
        <v>2.4899893525285398E-2</v>
      </c>
      <c r="L80" s="1">
        <f t="shared" si="20"/>
        <v>3.58069451124912E-3</v>
      </c>
      <c r="M80" s="1">
        <f t="shared" si="21"/>
        <v>2.5976199129318835E-3</v>
      </c>
      <c r="N80" s="7">
        <f t="shared" si="22"/>
        <v>1.3784520566011751</v>
      </c>
      <c r="P80" s="1">
        <f t="shared" si="14"/>
        <v>2.127357558179702E-3</v>
      </c>
      <c r="Q80" s="1">
        <f t="shared" si="15"/>
        <v>1.7133115551722258E-3</v>
      </c>
      <c r="R80" s="7">
        <f t="shared" si="23"/>
        <v>1.2416641630400114</v>
      </c>
      <c r="T80" s="1">
        <f t="shared" si="16"/>
        <v>2.0184997566700313E-3</v>
      </c>
      <c r="U80" s="1">
        <f t="shared" si="17"/>
        <v>2.0489544775269489E-3</v>
      </c>
      <c r="V80" s="7">
        <f t="shared" si="24"/>
        <v>0.98513645803703953</v>
      </c>
      <c r="X80" s="9"/>
    </row>
    <row r="81" spans="1:24">
      <c r="A81" s="151">
        <v>42491</v>
      </c>
      <c r="B81" s="10">
        <v>221</v>
      </c>
      <c r="C81" s="10">
        <v>242.699997</v>
      </c>
      <c r="D81" s="10">
        <v>218.550003</v>
      </c>
      <c r="E81" s="10">
        <v>230.64999399999999</v>
      </c>
      <c r="F81" s="10">
        <v>206.60716199999999</v>
      </c>
      <c r="G81" s="6">
        <f t="shared" si="18"/>
        <v>3.5001152989388391E-2</v>
      </c>
      <c r="I81" s="10">
        <v>10761.490234000001</v>
      </c>
      <c r="J81" s="6">
        <f t="shared" si="19"/>
        <v>3.4150107148912166E-2</v>
      </c>
      <c r="L81" s="1">
        <f t="shared" si="20"/>
        <v>3.2618250835494446E-3</v>
      </c>
      <c r="M81" s="1">
        <f t="shared" si="21"/>
        <v>2.5563171840516613E-3</v>
      </c>
      <c r="N81" s="7">
        <f t="shared" si="22"/>
        <v>1.2759860567770316</v>
      </c>
      <c r="P81" s="1">
        <f t="shared" si="14"/>
        <v>2.0201462519176521E-3</v>
      </c>
      <c r="Q81" s="1">
        <f t="shared" si="15"/>
        <v>1.8399270975820742E-3</v>
      </c>
      <c r="R81" s="7">
        <f t="shared" si="23"/>
        <v>1.0979490734020991</v>
      </c>
      <c r="T81" s="1">
        <f t="shared" si="16"/>
        <v>2.0480411852852494E-3</v>
      </c>
      <c r="U81" s="1">
        <f t="shared" si="17"/>
        <v>2.1143611964582264E-3</v>
      </c>
      <c r="V81" s="7">
        <f t="shared" si="24"/>
        <v>0.96863354696252002</v>
      </c>
      <c r="X81" s="9"/>
    </row>
    <row r="82" spans="1:24">
      <c r="A82" s="151">
        <v>42461</v>
      </c>
      <c r="B82" s="10">
        <v>188</v>
      </c>
      <c r="C82" s="10">
        <v>236.39999399999999</v>
      </c>
      <c r="D82" s="10">
        <v>188</v>
      </c>
      <c r="E82" s="10">
        <v>222.85000600000001</v>
      </c>
      <c r="F82" s="10">
        <v>199.62022400000001</v>
      </c>
      <c r="G82" s="6">
        <f t="shared" si="18"/>
        <v>0.17351256141732641</v>
      </c>
      <c r="H82" s="150">
        <f>AVERAGE(E82:E94)</f>
        <v>202.011538</v>
      </c>
      <c r="I82" s="10">
        <v>10406.120117</v>
      </c>
      <c r="J82" s="6">
        <f t="shared" si="19"/>
        <v>2.1698320438178098E-2</v>
      </c>
      <c r="L82" s="1">
        <f t="shared" si="20"/>
        <v>3.257860052366203E-3</v>
      </c>
      <c r="M82" s="1">
        <f t="shared" si="21"/>
        <v>2.5345705542230289E-3</v>
      </c>
      <c r="N82" s="7">
        <f t="shared" si="22"/>
        <v>1.2853696445490734</v>
      </c>
      <c r="P82" s="1">
        <f t="shared" si="14"/>
        <v>2.6224580597804825E-3</v>
      </c>
      <c r="Q82" s="1">
        <f t="shared" si="15"/>
        <v>2.2020461141028895E-3</v>
      </c>
      <c r="R82" s="7">
        <f t="shared" si="23"/>
        <v>1.1909187745820065</v>
      </c>
      <c r="T82" s="1">
        <f t="shared" si="16"/>
        <v>2.0365714541160499E-3</v>
      </c>
      <c r="U82" s="1">
        <f t="shared" si="17"/>
        <v>2.0992805590246731E-3</v>
      </c>
      <c r="V82" s="7">
        <f t="shared" si="24"/>
        <v>0.970128287694067</v>
      </c>
      <c r="W82" s="7">
        <f>AVERAGE(V82:V94)</f>
        <v>0.8915874229975288</v>
      </c>
      <c r="X82" s="9"/>
    </row>
    <row r="83" spans="1:24">
      <c r="A83" s="151">
        <v>42430</v>
      </c>
      <c r="B83" s="10">
        <v>171</v>
      </c>
      <c r="C83" s="10">
        <v>194.85000600000001</v>
      </c>
      <c r="D83" s="10">
        <v>167.199997</v>
      </c>
      <c r="E83" s="10">
        <v>189.89999399999999</v>
      </c>
      <c r="F83" s="10">
        <v>170.10488900000001</v>
      </c>
      <c r="G83" s="6">
        <f t="shared" si="18"/>
        <v>0.11738738008120919</v>
      </c>
      <c r="I83" s="10">
        <v>10185.120117</v>
      </c>
      <c r="J83" s="6">
        <f t="shared" si="19"/>
        <v>0.1063543893973953</v>
      </c>
      <c r="L83" s="1">
        <f t="shared" si="20"/>
        <v>3.1914796230324686E-3</v>
      </c>
      <c r="M83" s="1">
        <f t="shared" si="21"/>
        <v>2.5511906022325521E-3</v>
      </c>
      <c r="N83" s="7">
        <f t="shared" si="22"/>
        <v>1.2509765519830616</v>
      </c>
      <c r="P83" s="1">
        <f t="shared" si="14"/>
        <v>2.5428543485495939E-3</v>
      </c>
      <c r="Q83" s="1">
        <f t="shared" si="15"/>
        <v>2.1968635433051728E-3</v>
      </c>
      <c r="R83" s="7">
        <f t="shared" si="23"/>
        <v>1.1574930797585539</v>
      </c>
      <c r="T83" s="1">
        <f t="shared" si="16"/>
        <v>2.0231180584668559E-3</v>
      </c>
      <c r="U83" s="1">
        <f t="shared" si="17"/>
        <v>2.1243141314245062E-3</v>
      </c>
      <c r="V83" s="7">
        <f t="shared" si="24"/>
        <v>0.95236294319155568</v>
      </c>
      <c r="X83" s="9"/>
    </row>
    <row r="84" spans="1:24">
      <c r="A84" s="151">
        <v>42401</v>
      </c>
      <c r="B84" s="10">
        <v>169.60000600000001</v>
      </c>
      <c r="C84" s="10">
        <v>175.449997</v>
      </c>
      <c r="D84" s="10">
        <v>146.35000600000001</v>
      </c>
      <c r="E84" s="10">
        <v>169.949997</v>
      </c>
      <c r="F84" s="10">
        <v>152.23448200000001</v>
      </c>
      <c r="G84" s="6">
        <f t="shared" si="18"/>
        <v>5.9188550082323E-3</v>
      </c>
      <c r="I84" s="10">
        <v>9206.0195309999999</v>
      </c>
      <c r="J84" s="6">
        <f t="shared" si="19"/>
        <v>-8.0687866919932599E-2</v>
      </c>
      <c r="L84" s="1">
        <f t="shared" si="20"/>
        <v>1.8415569844697597E-3</v>
      </c>
      <c r="M84" s="1">
        <f t="shared" si="21"/>
        <v>1.3281268466230035E-3</v>
      </c>
      <c r="N84" s="7">
        <f t="shared" si="22"/>
        <v>1.3865821545225463</v>
      </c>
      <c r="P84" s="1">
        <f t="shared" si="14"/>
        <v>2.2869354379928242E-3</v>
      </c>
      <c r="Q84" s="1">
        <f t="shared" si="15"/>
        <v>1.9796123769833919E-3</v>
      </c>
      <c r="R84" s="7">
        <f t="shared" si="23"/>
        <v>1.1552440591817994</v>
      </c>
      <c r="T84" s="1">
        <f t="shared" si="16"/>
        <v>1.7757865446845623E-3</v>
      </c>
      <c r="U84" s="1">
        <f t="shared" si="17"/>
        <v>1.8684258810421738E-3</v>
      </c>
      <c r="V84" s="7">
        <f t="shared" si="24"/>
        <v>0.95041851148736012</v>
      </c>
      <c r="X84" s="9"/>
    </row>
    <row r="85" spans="1:24">
      <c r="A85" s="151">
        <v>42370</v>
      </c>
      <c r="B85" s="10">
        <v>190.25</v>
      </c>
      <c r="C85" s="10">
        <v>191.60000600000001</v>
      </c>
      <c r="D85" s="10">
        <v>155</v>
      </c>
      <c r="E85" s="10">
        <v>168.949997</v>
      </c>
      <c r="F85" s="10">
        <v>151.33873</v>
      </c>
      <c r="G85" s="6">
        <f t="shared" si="18"/>
        <v>-0.10513759458671226</v>
      </c>
      <c r="I85" s="10">
        <v>10014.030273</v>
      </c>
      <c r="J85" s="6">
        <f t="shared" si="19"/>
        <v>-5.8320165458435561E-2</v>
      </c>
      <c r="L85" s="1">
        <f t="shared" si="20"/>
        <v>2.1266914508195007E-3</v>
      </c>
      <c r="M85" s="1">
        <f t="shared" si="21"/>
        <v>9.4939208274697612E-4</v>
      </c>
      <c r="N85" s="7">
        <f t="shared" si="22"/>
        <v>2.2400560205496136</v>
      </c>
      <c r="P85" s="1">
        <f t="shared" si="14"/>
        <v>2.3206402716568872E-3</v>
      </c>
      <c r="Q85" s="1">
        <f t="shared" si="15"/>
        <v>1.6303564487925391E-3</v>
      </c>
      <c r="R85" s="7">
        <f t="shared" si="23"/>
        <v>1.4233944198985322</v>
      </c>
      <c r="T85" s="1">
        <f t="shared" si="16"/>
        <v>1.9832626194074411E-3</v>
      </c>
      <c r="U85" s="1">
        <f t="shared" si="17"/>
        <v>1.7979272639655013E-3</v>
      </c>
      <c r="V85" s="7">
        <f t="shared" si="24"/>
        <v>1.1030827882509355</v>
      </c>
      <c r="X85" s="9"/>
    </row>
    <row r="86" spans="1:24">
      <c r="A86" s="151">
        <v>42339</v>
      </c>
      <c r="B86" s="10">
        <v>197.5</v>
      </c>
      <c r="C86" s="10">
        <v>203.75</v>
      </c>
      <c r="D86" s="10">
        <v>179.25</v>
      </c>
      <c r="E86" s="10">
        <v>188.800003</v>
      </c>
      <c r="F86" s="10">
        <v>169.119553</v>
      </c>
      <c r="G86" s="6">
        <f t="shared" si="18"/>
        <v>-3.4024106165783545E-2</v>
      </c>
      <c r="I86" s="10">
        <v>10634.219727</v>
      </c>
      <c r="J86" s="6">
        <f t="shared" si="19"/>
        <v>5.0411539106213375E-3</v>
      </c>
      <c r="L86" s="1">
        <f t="shared" si="20"/>
        <v>1.6669657820195481E-3</v>
      </c>
      <c r="M86" s="1">
        <f t="shared" si="21"/>
        <v>1.1210826996449141E-3</v>
      </c>
      <c r="N86" s="7">
        <f t="shared" si="22"/>
        <v>1.4869249008548024</v>
      </c>
      <c r="P86" s="1">
        <f t="shared" si="14"/>
        <v>2.357168516033696E-3</v>
      </c>
      <c r="Q86" s="1">
        <f t="shared" si="15"/>
        <v>1.5407201015634538E-3</v>
      </c>
      <c r="R86" s="7">
        <f t="shared" si="23"/>
        <v>1.5299135213733805</v>
      </c>
      <c r="T86" s="1">
        <f t="shared" si="16"/>
        <v>1.7781615276980542E-3</v>
      </c>
      <c r="U86" s="1">
        <f t="shared" si="17"/>
        <v>1.6674683526634666E-3</v>
      </c>
      <c r="V86" s="7">
        <f t="shared" si="24"/>
        <v>1.0663839735595437</v>
      </c>
      <c r="X86" s="9"/>
    </row>
    <row r="87" spans="1:24">
      <c r="A87" s="151">
        <v>42309</v>
      </c>
      <c r="B87" s="10">
        <v>189.300003</v>
      </c>
      <c r="C87" s="10">
        <v>198</v>
      </c>
      <c r="D87" s="10">
        <v>178</v>
      </c>
      <c r="E87" s="10">
        <v>195.449997</v>
      </c>
      <c r="F87" s="10">
        <v>175.07637</v>
      </c>
      <c r="G87" s="6">
        <f t="shared" si="18"/>
        <v>4.4070554584231467E-2</v>
      </c>
      <c r="I87" s="10">
        <v>10580.879883</v>
      </c>
      <c r="J87" s="6">
        <f t="shared" si="19"/>
        <v>-8.49922826208129E-3</v>
      </c>
      <c r="L87" s="1">
        <f t="shared" si="20"/>
        <v>1.6181952748178954E-3</v>
      </c>
      <c r="M87" s="1">
        <f t="shared" si="21"/>
        <v>1.1780950061934406E-3</v>
      </c>
      <c r="N87" s="7">
        <f t="shared" si="22"/>
        <v>1.3735694203869593</v>
      </c>
      <c r="P87" s="1">
        <f t="shared" si="14"/>
        <v>2.3510329209017146E-3</v>
      </c>
      <c r="Q87" s="1">
        <f t="shared" si="15"/>
        <v>1.5485541128392962E-3</v>
      </c>
      <c r="R87" s="7">
        <f t="shared" si="23"/>
        <v>1.5182116668761816</v>
      </c>
      <c r="T87" s="1">
        <f t="shared" si="16"/>
        <v>1.768310552973706E-3</v>
      </c>
      <c r="U87" s="1">
        <f t="shared" si="17"/>
        <v>1.6671667076644679E-3</v>
      </c>
      <c r="V87" s="7">
        <f t="shared" si="24"/>
        <v>1.0606681052616089</v>
      </c>
      <c r="X87" s="9"/>
    </row>
    <row r="88" spans="1:24">
      <c r="A88" s="151">
        <v>42278</v>
      </c>
      <c r="B88" s="10">
        <v>155.89999399999999</v>
      </c>
      <c r="C88" s="10">
        <v>199.449997</v>
      </c>
      <c r="D88" s="10">
        <v>154.449997</v>
      </c>
      <c r="E88" s="10">
        <v>187.199997</v>
      </c>
      <c r="F88" s="10">
        <v>167.68634</v>
      </c>
      <c r="G88" s="6">
        <f t="shared" si="18"/>
        <v>0.20930252817967529</v>
      </c>
      <c r="I88" s="10">
        <v>10671.580078000001</v>
      </c>
      <c r="J88" s="6">
        <f t="shared" si="19"/>
        <v>1.6508487088108936E-2</v>
      </c>
      <c r="L88" s="1">
        <f t="shared" si="20"/>
        <v>1.5948549504134317E-3</v>
      </c>
      <c r="M88" s="1">
        <f t="shared" si="21"/>
        <v>1.2817683154514288E-3</v>
      </c>
      <c r="N88" s="7">
        <f t="shared" si="22"/>
        <v>1.2442614871875157</v>
      </c>
      <c r="P88" s="1">
        <f t="shared" si="14"/>
        <v>2.3272090289224532E-3</v>
      </c>
      <c r="Q88" s="1">
        <f t="shared" si="15"/>
        <v>1.5468355004934335E-3</v>
      </c>
      <c r="R88" s="7">
        <f t="shared" si="23"/>
        <v>1.504496779508929</v>
      </c>
      <c r="T88" s="1">
        <f t="shared" si="16"/>
        <v>1.7611920928657168E-3</v>
      </c>
      <c r="U88" s="1">
        <f t="shared" si="17"/>
        <v>1.6980090518688693E-3</v>
      </c>
      <c r="V88" s="7">
        <f t="shared" si="24"/>
        <v>1.0372100731308274</v>
      </c>
      <c r="X88" s="9"/>
    </row>
    <row r="89" spans="1:24">
      <c r="A89" s="151">
        <v>42248</v>
      </c>
      <c r="B89" s="10">
        <v>186.10000600000001</v>
      </c>
      <c r="C89" s="10">
        <v>188.85000600000001</v>
      </c>
      <c r="D89" s="10">
        <v>150.800003</v>
      </c>
      <c r="E89" s="10">
        <v>154.800003</v>
      </c>
      <c r="F89" s="10">
        <v>138.663681</v>
      </c>
      <c r="G89" s="6">
        <f t="shared" si="18"/>
        <v>-0.18008486576357022</v>
      </c>
      <c r="I89" s="10">
        <v>10498.269531</v>
      </c>
      <c r="J89" s="6">
        <f t="shared" si="19"/>
        <v>-3.6170252423689776E-3</v>
      </c>
      <c r="L89" s="1">
        <f t="shared" si="20"/>
        <v>1.7057012439876714E-3</v>
      </c>
      <c r="M89" s="1">
        <f t="shared" si="21"/>
        <v>1.4030448338246317E-3</v>
      </c>
      <c r="N89" s="7">
        <f t="shared" si="22"/>
        <v>1.2157139977758324</v>
      </c>
      <c r="P89" s="1">
        <f t="shared" si="14"/>
        <v>2.1859215872652208E-3</v>
      </c>
      <c r="Q89" s="1">
        <f t="shared" si="15"/>
        <v>1.7880775958365521E-3</v>
      </c>
      <c r="R89" s="7">
        <f t="shared" si="23"/>
        <v>1.2224981691818231</v>
      </c>
      <c r="T89" s="1">
        <f t="shared" si="16"/>
        <v>1.7413440693813279E-3</v>
      </c>
      <c r="U89" s="1">
        <f t="shared" si="17"/>
        <v>1.713675170613918E-3</v>
      </c>
      <c r="V89" s="7">
        <f t="shared" si="24"/>
        <v>1.0161459413323342</v>
      </c>
      <c r="X89" s="9"/>
    </row>
    <row r="90" spans="1:24">
      <c r="A90" s="151">
        <v>42217</v>
      </c>
      <c r="B90" s="10">
        <v>245</v>
      </c>
      <c r="C90" s="10">
        <v>249.800003</v>
      </c>
      <c r="D90" s="10">
        <v>183.25</v>
      </c>
      <c r="E90" s="10">
        <v>188.800003</v>
      </c>
      <c r="F90" s="10">
        <v>169.119553</v>
      </c>
      <c r="G90" s="6">
        <f t="shared" si="18"/>
        <v>-0.21649790966723309</v>
      </c>
      <c r="I90" s="10">
        <v>10536.379883</v>
      </c>
      <c r="J90" s="6">
        <f t="shared" si="19"/>
        <v>-6.2050563749948238E-2</v>
      </c>
      <c r="L90" s="1">
        <f t="shared" si="20"/>
        <v>1.6866979140404985E-3</v>
      </c>
      <c r="M90" s="1">
        <f t="shared" si="21"/>
        <v>1.3995182327124593E-3</v>
      </c>
      <c r="N90" s="7">
        <f t="shared" si="22"/>
        <v>1.2051989567663191</v>
      </c>
      <c r="P90" s="1">
        <f t="shared" si="14"/>
        <v>2.2955946706734527E-3</v>
      </c>
      <c r="Q90" s="1">
        <f t="shared" si="15"/>
        <v>1.8131971980609868E-3</v>
      </c>
      <c r="R90" s="7">
        <f t="shared" si="23"/>
        <v>1.2660479914310128</v>
      </c>
      <c r="T90" s="1">
        <f t="shared" si="16"/>
        <v>1.6313489500102869E-3</v>
      </c>
      <c r="U90" s="1">
        <f t="shared" si="17"/>
        <v>1.8736974161619882E-3</v>
      </c>
      <c r="V90" s="7">
        <f t="shared" si="24"/>
        <v>0.87065762910207833</v>
      </c>
      <c r="X90" s="9"/>
    </row>
    <row r="91" spans="1:24">
      <c r="A91" s="151">
        <v>42186</v>
      </c>
      <c r="B91" s="10">
        <v>249.199997</v>
      </c>
      <c r="C91" s="10">
        <v>254</v>
      </c>
      <c r="D91" s="10">
        <v>226.800003</v>
      </c>
      <c r="E91" s="10">
        <v>243.449997</v>
      </c>
      <c r="F91" s="10">
        <v>215.85079999999999</v>
      </c>
      <c r="G91" s="6">
        <f t="shared" si="18"/>
        <v>-1.8544689636903828E-2</v>
      </c>
      <c r="I91" s="10">
        <v>11233.419921999999</v>
      </c>
      <c r="J91" s="6">
        <f t="shared" si="19"/>
        <v>3.0255306376953169E-2</v>
      </c>
      <c r="L91" s="1">
        <f t="shared" si="20"/>
        <v>6.387868042075543E-4</v>
      </c>
      <c r="M91" s="1">
        <f t="shared" si="21"/>
        <v>9.8735225574593435E-4</v>
      </c>
      <c r="N91" s="7">
        <f t="shared" si="22"/>
        <v>0.64696950909881445</v>
      </c>
      <c r="P91" s="1">
        <f t="shared" si="14"/>
        <v>1.0096946962270762E-3</v>
      </c>
      <c r="Q91" s="1">
        <f t="shared" si="15"/>
        <v>1.7013238588283162E-3</v>
      </c>
      <c r="R91" s="7">
        <f t="shared" si="23"/>
        <v>0.59347589289815894</v>
      </c>
      <c r="T91" s="1">
        <f t="shared" si="16"/>
        <v>1.0925387628096524E-3</v>
      </c>
      <c r="U91" s="1">
        <f t="shared" si="17"/>
        <v>1.7099623973203212E-3</v>
      </c>
      <c r="V91" s="7">
        <f t="shared" si="24"/>
        <v>0.63892560709040602</v>
      </c>
      <c r="X91" s="9"/>
    </row>
    <row r="92" spans="1:24">
      <c r="A92" s="151">
        <v>42156</v>
      </c>
      <c r="B92" s="10">
        <v>237.60000600000001</v>
      </c>
      <c r="C92" s="10">
        <v>256.5</v>
      </c>
      <c r="D92" s="10">
        <v>225.14999399999999</v>
      </c>
      <c r="E92" s="10">
        <v>248.050003</v>
      </c>
      <c r="F92" s="10">
        <v>219.92932099999999</v>
      </c>
      <c r="G92" s="6">
        <f t="shared" si="18"/>
        <v>4.1351813773125426E-2</v>
      </c>
      <c r="I92" s="10">
        <v>10903.530273</v>
      </c>
      <c r="J92" s="6">
        <f t="shared" si="19"/>
        <v>-1.0906396325037525E-2</v>
      </c>
      <c r="L92" s="1">
        <f t="shared" si="20"/>
        <v>7.1607309581023443E-4</v>
      </c>
      <c r="M92" s="1">
        <f t="shared" si="21"/>
        <v>9.5573171194798139E-4</v>
      </c>
      <c r="N92" s="7">
        <f t="shared" si="22"/>
        <v>0.74924069888894607</v>
      </c>
      <c r="P92" s="1">
        <f t="shared" si="14"/>
        <v>1.2058211446229377E-3</v>
      </c>
      <c r="Q92" s="1">
        <f t="shared" si="15"/>
        <v>1.7827264044927703E-3</v>
      </c>
      <c r="R92" s="7">
        <f t="shared" si="23"/>
        <v>0.67639158851524583</v>
      </c>
      <c r="T92" s="1">
        <f t="shared" si="16"/>
        <v>1.1367999302366945E-3</v>
      </c>
      <c r="U92" s="1">
        <f t="shared" si="17"/>
        <v>1.7235817762825075E-3</v>
      </c>
      <c r="V92" s="7">
        <f t="shared" si="24"/>
        <v>0.65955671258522564</v>
      </c>
      <c r="X92" s="9"/>
    </row>
    <row r="93" spans="1:24">
      <c r="A93" s="151">
        <v>42125</v>
      </c>
      <c r="B93" s="10">
        <v>229.75</v>
      </c>
      <c r="C93" s="10">
        <v>259.5</v>
      </c>
      <c r="D93" s="10">
        <v>226.39999399999999</v>
      </c>
      <c r="E93" s="10">
        <v>238.199997</v>
      </c>
      <c r="F93" s="10">
        <v>211.19598400000001</v>
      </c>
      <c r="G93" s="6">
        <f t="shared" si="18"/>
        <v>3.6779194399196698E-2</v>
      </c>
      <c r="I93" s="10">
        <v>11023.759765999999</v>
      </c>
      <c r="J93" s="6">
        <f t="shared" si="19"/>
        <v>3.0563230940013661E-2</v>
      </c>
      <c r="L93" s="1">
        <f t="shared" si="20"/>
        <v>8.1856498925044364E-4</v>
      </c>
      <c r="M93" s="1">
        <f t="shared" si="21"/>
        <v>1.1425528998494118E-3</v>
      </c>
      <c r="N93" s="7">
        <f t="shared" si="22"/>
        <v>0.71643508966484637</v>
      </c>
      <c r="P93" s="1">
        <f t="shared" si="14"/>
        <v>1.3695885495964794E-3</v>
      </c>
      <c r="Q93" s="1">
        <f t="shared" si="15"/>
        <v>1.879373321992798E-3</v>
      </c>
      <c r="R93" s="7">
        <f t="shared" si="23"/>
        <v>0.72874746787627742</v>
      </c>
      <c r="T93" s="1">
        <f t="shared" si="16"/>
        <v>1.157057322069866E-3</v>
      </c>
      <c r="U93" s="1">
        <f t="shared" si="17"/>
        <v>1.770855354940114E-3</v>
      </c>
      <c r="V93" s="7">
        <f t="shared" si="24"/>
        <v>0.65338895062323987</v>
      </c>
      <c r="X93" s="9"/>
    </row>
    <row r="94" spans="1:24">
      <c r="A94" s="151">
        <v>42095</v>
      </c>
      <c r="B94" s="10">
        <v>270</v>
      </c>
      <c r="C94" s="10">
        <v>270.60000600000001</v>
      </c>
      <c r="D94" s="10">
        <v>227.199997</v>
      </c>
      <c r="E94" s="10">
        <v>229.75</v>
      </c>
      <c r="F94" s="10">
        <v>203.70391799999999</v>
      </c>
      <c r="G94" s="6">
        <f t="shared" si="18"/>
        <v>-0.13751285576508177</v>
      </c>
      <c r="H94" s="150">
        <f>AVERAGE(E94:E106)</f>
        <v>274.38846292307693</v>
      </c>
      <c r="I94" s="10">
        <v>10696.830078000001</v>
      </c>
      <c r="J94" s="6">
        <f t="shared" si="19"/>
        <v>-3.185155985971256E-2</v>
      </c>
      <c r="L94" s="1">
        <f t="shared" si="20"/>
        <v>1.9206458272627181E-3</v>
      </c>
      <c r="M94" s="1">
        <f t="shared" si="21"/>
        <v>1.7844759316739769E-3</v>
      </c>
      <c r="N94" s="7">
        <f t="shared" si="22"/>
        <v>1.0763080595102246</v>
      </c>
      <c r="P94" s="1">
        <f t="shared" si="14"/>
        <v>1.3705459882376685E-3</v>
      </c>
      <c r="Q94" s="1">
        <f t="shared" si="15"/>
        <v>1.8749807481825166E-3</v>
      </c>
      <c r="R94" s="7">
        <f t="shared" si="23"/>
        <v>0.73096536567972015</v>
      </c>
      <c r="T94" s="1">
        <f t="shared" si="16"/>
        <v>1.1848980952503156E-3</v>
      </c>
      <c r="U94" s="1">
        <f t="shared" si="17"/>
        <v>1.9370354473633483E-3</v>
      </c>
      <c r="V94" s="7">
        <f t="shared" si="24"/>
        <v>0.61170697565869214</v>
      </c>
      <c r="W94" s="7">
        <f>AVERAGE(V94:V106)</f>
        <v>0.52590738225390465</v>
      </c>
      <c r="X94" s="9"/>
    </row>
    <row r="95" spans="1:24">
      <c r="A95" s="151">
        <v>42064</v>
      </c>
      <c r="B95" s="10">
        <v>278.45001200000002</v>
      </c>
      <c r="C95" s="10">
        <v>294</v>
      </c>
      <c r="D95" s="10">
        <v>255</v>
      </c>
      <c r="E95" s="10">
        <v>268.39999399999999</v>
      </c>
      <c r="F95" s="10">
        <v>236.18197599999999</v>
      </c>
      <c r="G95" s="6">
        <f t="shared" si="18"/>
        <v>-7.095901984093643E-2</v>
      </c>
      <c r="I95" s="10">
        <v>11048.75</v>
      </c>
      <c r="J95" s="6">
        <f t="shared" si="19"/>
        <v>-3.1260935739540426E-2</v>
      </c>
      <c r="L95" s="1">
        <f t="shared" si="20"/>
        <v>1.2488834147344509E-3</v>
      </c>
      <c r="M95" s="1">
        <f t="shared" si="21"/>
        <v>1.5363252751718821E-3</v>
      </c>
      <c r="N95" s="7">
        <f t="shared" si="22"/>
        <v>0.81290299321198589</v>
      </c>
      <c r="P95" s="1">
        <f t="shared" si="14"/>
        <v>1.0767454883791672E-3</v>
      </c>
      <c r="Q95" s="1">
        <f t="shared" si="15"/>
        <v>1.7929138026147263E-3</v>
      </c>
      <c r="R95" s="7">
        <f t="shared" si="23"/>
        <v>0.60055619339249722</v>
      </c>
      <c r="T95" s="1">
        <f t="shared" si="16"/>
        <v>1.0604108898795103E-3</v>
      </c>
      <c r="U95" s="1">
        <f t="shared" si="17"/>
        <v>1.8917087319275676E-3</v>
      </c>
      <c r="V95" s="7">
        <f t="shared" si="24"/>
        <v>0.56055716822694923</v>
      </c>
      <c r="X95" s="9"/>
    </row>
    <row r="96" spans="1:24">
      <c r="A96" s="151">
        <v>42036</v>
      </c>
      <c r="B96" s="10">
        <v>289.39999399999999</v>
      </c>
      <c r="C96" s="10">
        <v>301.64999399999999</v>
      </c>
      <c r="D96" s="10">
        <v>265</v>
      </c>
      <c r="E96" s="10">
        <v>288.89999399999999</v>
      </c>
      <c r="F96" s="10">
        <v>254.22126800000001</v>
      </c>
      <c r="G96" s="6">
        <f t="shared" si="18"/>
        <v>-2.7613941385798424E-3</v>
      </c>
      <c r="I96" s="10">
        <v>11405.290039</v>
      </c>
      <c r="J96" s="6">
        <f t="shared" si="19"/>
        <v>5.2043499681110961E-3</v>
      </c>
      <c r="L96" s="1">
        <f t="shared" si="20"/>
        <v>9.3845461489435171E-4</v>
      </c>
      <c r="M96" s="1">
        <f t="shared" si="21"/>
        <v>1.4002752565560762E-3</v>
      </c>
      <c r="N96" s="7">
        <f t="shared" si="22"/>
        <v>0.67019295706363136</v>
      </c>
      <c r="P96" s="1">
        <f t="shared" si="14"/>
        <v>1.0142161075339352E-3</v>
      </c>
      <c r="Q96" s="1">
        <f t="shared" si="15"/>
        <v>1.7205138054864351E-3</v>
      </c>
      <c r="R96" s="7">
        <f t="shared" si="23"/>
        <v>0.58948443441707188</v>
      </c>
      <c r="T96" s="1">
        <f t="shared" si="16"/>
        <v>9.289412595908683E-4</v>
      </c>
      <c r="U96" s="1">
        <f t="shared" si="17"/>
        <v>1.8551069904235197E-3</v>
      </c>
      <c r="V96" s="7">
        <f t="shared" si="24"/>
        <v>0.50074807781237007</v>
      </c>
      <c r="X96" s="9"/>
    </row>
    <row r="97" spans="1:24">
      <c r="A97" s="151">
        <v>42005</v>
      </c>
      <c r="B97" s="10">
        <v>310.89999399999999</v>
      </c>
      <c r="C97" s="10">
        <v>310.89999399999999</v>
      </c>
      <c r="D97" s="10">
        <v>280</v>
      </c>
      <c r="E97" s="10">
        <v>289.70001200000002</v>
      </c>
      <c r="F97" s="10">
        <v>254.925217</v>
      </c>
      <c r="G97" s="6">
        <f t="shared" si="18"/>
        <v>-5.9263045397758847E-2</v>
      </c>
      <c r="I97" s="10">
        <v>11346.240234000001</v>
      </c>
      <c r="J97" s="6">
        <f t="shared" si="19"/>
        <v>6.4125696037514723E-2</v>
      </c>
      <c r="L97" s="1">
        <f t="shared" si="20"/>
        <v>8.5463102255928063E-4</v>
      </c>
      <c r="M97" s="1">
        <f t="shared" si="21"/>
        <v>1.3249675674612176E-3</v>
      </c>
      <c r="N97" s="7">
        <f t="shared" si="22"/>
        <v>0.64502033374058121</v>
      </c>
      <c r="P97" s="1">
        <f t="shared" si="14"/>
        <v>1.4078507778789602E-3</v>
      </c>
      <c r="Q97" s="1">
        <f t="shared" si="15"/>
        <v>2.0220029318779691E-3</v>
      </c>
      <c r="R97" s="7">
        <f t="shared" si="23"/>
        <v>0.69626544832523818</v>
      </c>
      <c r="T97" s="1">
        <f t="shared" si="16"/>
        <v>9.5258967978933886E-4</v>
      </c>
      <c r="U97" s="1">
        <f t="shared" si="17"/>
        <v>1.8799941627583132E-3</v>
      </c>
      <c r="V97" s="7">
        <f t="shared" si="24"/>
        <v>0.50669821144109639</v>
      </c>
      <c r="X97" s="9"/>
    </row>
    <row r="98" spans="1:24">
      <c r="A98" s="151">
        <v>41974</v>
      </c>
      <c r="B98" s="10">
        <v>311.5</v>
      </c>
      <c r="C98" s="10">
        <v>335</v>
      </c>
      <c r="D98" s="10">
        <v>291.70001200000002</v>
      </c>
      <c r="E98" s="10">
        <v>307.95001200000002</v>
      </c>
      <c r="F98" s="10">
        <v>270.98458900000003</v>
      </c>
      <c r="G98" s="6">
        <f t="shared" si="18"/>
        <v>-7.8928370482756229E-3</v>
      </c>
      <c r="I98" s="10">
        <v>10662.5</v>
      </c>
      <c r="J98" s="6">
        <f t="shared" si="19"/>
        <v>-2.6803200374830291E-2</v>
      </c>
      <c r="L98" s="1">
        <f t="shared" si="20"/>
        <v>2.233889975068746E-3</v>
      </c>
      <c r="M98" s="1">
        <f t="shared" si="21"/>
        <v>1.7158092522551076E-3</v>
      </c>
      <c r="N98" s="7">
        <f t="shared" si="22"/>
        <v>1.3019454068875773</v>
      </c>
      <c r="P98" s="1">
        <f t="shared" si="14"/>
        <v>1.5962883793391046E-3</v>
      </c>
      <c r="Q98" s="1">
        <f t="shared" si="15"/>
        <v>1.9238234452255989E-3</v>
      </c>
      <c r="R98" s="7">
        <f t="shared" si="23"/>
        <v>0.82974785617705915</v>
      </c>
      <c r="T98" s="1">
        <f t="shared" si="16"/>
        <v>8.8918791211435491E-4</v>
      </c>
      <c r="U98" s="1">
        <f t="shared" si="17"/>
        <v>2.2024160523677876E-3</v>
      </c>
      <c r="V98" s="7">
        <f t="shared" si="24"/>
        <v>0.40373294190187226</v>
      </c>
      <c r="X98" s="9"/>
    </row>
    <row r="99" spans="1:24">
      <c r="A99" s="151">
        <v>41944</v>
      </c>
      <c r="B99" s="10">
        <v>333</v>
      </c>
      <c r="C99" s="10">
        <v>340</v>
      </c>
      <c r="D99" s="10">
        <v>306.64999399999999</v>
      </c>
      <c r="E99" s="10">
        <v>310.39999399999999</v>
      </c>
      <c r="F99" s="10">
        <v>273.14044200000001</v>
      </c>
      <c r="G99" s="6">
        <f t="shared" si="18"/>
        <v>-6.0532845068936726E-2</v>
      </c>
      <c r="I99" s="10">
        <v>10956.160156</v>
      </c>
      <c r="J99" s="6">
        <f t="shared" si="19"/>
        <v>3.4098562609210063E-2</v>
      </c>
      <c r="L99" s="1">
        <f t="shared" si="20"/>
        <v>2.0569152985200037E-3</v>
      </c>
      <c r="M99" s="1">
        <f t="shared" si="21"/>
        <v>1.4305267233254563E-3</v>
      </c>
      <c r="N99" s="7">
        <f t="shared" si="22"/>
        <v>1.4378726835234654</v>
      </c>
      <c r="P99" s="1">
        <f t="shared" si="14"/>
        <v>1.5594726715669179E-3</v>
      </c>
      <c r="Q99" s="1">
        <f t="shared" si="15"/>
        <v>1.8439694847445271E-3</v>
      </c>
      <c r="R99" s="7">
        <f t="shared" si="23"/>
        <v>0.84571501018248962</v>
      </c>
      <c r="T99" s="1">
        <f t="shared" si="16"/>
        <v>9.537445328728992E-4</v>
      </c>
      <c r="U99" s="1">
        <f t="shared" si="17"/>
        <v>2.2982950811597179E-3</v>
      </c>
      <c r="V99" s="7">
        <f t="shared" si="24"/>
        <v>0.41497914723449714</v>
      </c>
      <c r="X99" s="9"/>
    </row>
    <row r="100" spans="1:24">
      <c r="A100" s="151">
        <v>41913</v>
      </c>
      <c r="B100" s="10">
        <v>305.35000600000001</v>
      </c>
      <c r="C100" s="10">
        <v>332</v>
      </c>
      <c r="D100" s="10">
        <v>281.5</v>
      </c>
      <c r="E100" s="10">
        <v>330.39999399999999</v>
      </c>
      <c r="F100" s="10">
        <v>290.73974600000003</v>
      </c>
      <c r="G100" s="6">
        <f t="shared" si="18"/>
        <v>8.2037087510449289E-2</v>
      </c>
      <c r="I100" s="10">
        <v>10594.889648</v>
      </c>
      <c r="J100" s="6">
        <f t="shared" si="19"/>
        <v>4.144491457980147E-2</v>
      </c>
      <c r="L100" s="1">
        <f t="shared" si="20"/>
        <v>1.97952822392398E-3</v>
      </c>
      <c r="M100" s="1">
        <f t="shared" si="21"/>
        <v>1.5567015775250575E-3</v>
      </c>
      <c r="N100" s="7">
        <f t="shared" si="22"/>
        <v>1.2716170218515221</v>
      </c>
      <c r="P100" s="1">
        <f t="shared" si="14"/>
        <v>1.5490114208111094E-3</v>
      </c>
      <c r="Q100" s="1">
        <f t="shared" si="15"/>
        <v>1.8773401783534172E-3</v>
      </c>
      <c r="R100" s="7">
        <f t="shared" si="23"/>
        <v>0.8251096091544371</v>
      </c>
      <c r="T100" s="1">
        <f t="shared" si="16"/>
        <v>1.4476425485325007E-3</v>
      </c>
      <c r="U100" s="1">
        <f t="shared" si="17"/>
        <v>2.6416056984280355E-3</v>
      </c>
      <c r="V100" s="7">
        <f t="shared" si="24"/>
        <v>0.54801613631964929</v>
      </c>
      <c r="X100" s="9"/>
    </row>
    <row r="101" spans="1:24">
      <c r="A101" s="151">
        <v>41883</v>
      </c>
      <c r="B101" s="10">
        <v>258.60000600000001</v>
      </c>
      <c r="C101" s="10">
        <v>339</v>
      </c>
      <c r="D101" s="10">
        <v>256</v>
      </c>
      <c r="E101" s="10">
        <v>305.35000600000001</v>
      </c>
      <c r="F101" s="10">
        <v>268.69665500000002</v>
      </c>
      <c r="G101" s="6">
        <f t="shared" si="18"/>
        <v>0.18123789891992906</v>
      </c>
      <c r="I101" s="10">
        <v>10173.259765999999</v>
      </c>
      <c r="J101" s="6">
        <f t="shared" si="19"/>
        <v>7.6445201903833733E-3</v>
      </c>
      <c r="L101" s="1">
        <f t="shared" si="20"/>
        <v>1.5092118510251998E-3</v>
      </c>
      <c r="M101" s="1">
        <f t="shared" si="21"/>
        <v>1.878064090468509E-3</v>
      </c>
      <c r="N101" s="7">
        <f t="shared" si="22"/>
        <v>0.80359975928654603</v>
      </c>
      <c r="P101" s="1">
        <f t="shared" si="14"/>
        <v>1.5157382896290544E-3</v>
      </c>
      <c r="Q101" s="1">
        <f t="shared" si="15"/>
        <v>1.8859109812435306E-3</v>
      </c>
      <c r="R101" s="7">
        <f t="shared" si="23"/>
        <v>0.8037167738583334</v>
      </c>
      <c r="T101" s="1">
        <f t="shared" si="16"/>
        <v>1.4965205033120519E-3</v>
      </c>
      <c r="U101" s="1">
        <f t="shared" si="17"/>
        <v>2.6781847729631021E-3</v>
      </c>
      <c r="V101" s="7">
        <f t="shared" si="24"/>
        <v>0.55878164883161696</v>
      </c>
      <c r="X101" s="9"/>
    </row>
    <row r="102" spans="1:24">
      <c r="A102" s="151">
        <v>41852</v>
      </c>
      <c r="B102" s="10">
        <v>240</v>
      </c>
      <c r="C102" s="10">
        <v>267.85000600000001</v>
      </c>
      <c r="D102" s="10">
        <v>233.85000600000001</v>
      </c>
      <c r="E102" s="10">
        <v>258.5</v>
      </c>
      <c r="F102" s="10">
        <v>227.47039799999999</v>
      </c>
      <c r="G102" s="6">
        <f t="shared" si="18"/>
        <v>0.10791892175163754</v>
      </c>
      <c r="I102" s="10">
        <v>10096.080078000001</v>
      </c>
      <c r="J102" s="6">
        <f t="shared" si="19"/>
        <v>2.6910445933233655E-2</v>
      </c>
      <c r="L102" s="1">
        <f t="shared" si="20"/>
        <v>2.0901118383331715E-3</v>
      </c>
      <c r="M102" s="1">
        <f t="shared" si="21"/>
        <v>1.8432765674073141E-3</v>
      </c>
      <c r="N102" s="7">
        <f t="shared" si="22"/>
        <v>1.1339111424136676</v>
      </c>
      <c r="P102" s="1">
        <f t="shared" si="14"/>
        <v>1.4978217984068396E-3</v>
      </c>
      <c r="Q102" s="1">
        <f t="shared" si="15"/>
        <v>2.1083223622934541E-3</v>
      </c>
      <c r="R102" s="7">
        <f t="shared" si="23"/>
        <v>0.71043300834578926</v>
      </c>
      <c r="T102" s="1">
        <f t="shared" si="16"/>
        <v>1.5426785763272156E-3</v>
      </c>
      <c r="U102" s="1">
        <f t="shared" si="17"/>
        <v>2.7021014835968745E-3</v>
      </c>
      <c r="V102" s="7">
        <f t="shared" si="24"/>
        <v>0.57091807457716015</v>
      </c>
      <c r="X102" s="9"/>
    </row>
    <row r="103" spans="1:24">
      <c r="A103" s="151">
        <v>41821</v>
      </c>
      <c r="B103" s="10">
        <v>264.54998799999998</v>
      </c>
      <c r="C103" s="10">
        <v>265</v>
      </c>
      <c r="D103" s="10">
        <v>227.800003</v>
      </c>
      <c r="E103" s="10">
        <v>242.300003</v>
      </c>
      <c r="F103" s="10">
        <v>205.31321700000001</v>
      </c>
      <c r="G103" s="6">
        <f t="shared" si="18"/>
        <v>-6.3936784484895218E-2</v>
      </c>
      <c r="I103" s="10">
        <v>9831.5097659999992</v>
      </c>
      <c r="J103" s="6">
        <f t="shared" si="19"/>
        <v>4.1025970541319441E-3</v>
      </c>
      <c r="L103" s="1">
        <f t="shared" si="20"/>
        <v>1.0902373434166256E-3</v>
      </c>
      <c r="M103" s="1">
        <f t="shared" si="21"/>
        <v>2.3865760424434269E-3</v>
      </c>
      <c r="N103" s="7">
        <f t="shared" si="22"/>
        <v>0.45682070213879195</v>
      </c>
      <c r="P103" s="1">
        <f t="shared" si="14"/>
        <v>1.3217961422731959E-3</v>
      </c>
      <c r="Q103" s="1">
        <f t="shared" si="15"/>
        <v>2.1170417089026571E-3</v>
      </c>
      <c r="R103" s="7">
        <f t="shared" si="23"/>
        <v>0.62435999097926742</v>
      </c>
      <c r="T103" s="1">
        <f t="shared" ref="T103:T147" si="25">COVAR(G103:G138,J103:J138)</f>
        <v>1.6366165850869813E-3</v>
      </c>
      <c r="U103" s="1">
        <f t="shared" ref="U103:U147" si="26">VAR(J103:J138)</f>
        <v>2.9804965688426392E-3</v>
      </c>
      <c r="V103" s="7">
        <f t="shared" ref="V103:V147" si="27">T103/U103</f>
        <v>0.54910869624738345</v>
      </c>
      <c r="X103" s="9"/>
    </row>
    <row r="104" spans="1:24">
      <c r="A104" s="151">
        <v>41791</v>
      </c>
      <c r="B104" s="10">
        <v>254.35000600000001</v>
      </c>
      <c r="C104" s="10">
        <v>280</v>
      </c>
      <c r="D104" s="10">
        <v>247.89999399999999</v>
      </c>
      <c r="E104" s="10">
        <v>258.85000600000001</v>
      </c>
      <c r="F104" s="10">
        <v>219.33691400000001</v>
      </c>
      <c r="G104" s="6">
        <f t="shared" si="18"/>
        <v>8.7685081202132625E-3</v>
      </c>
      <c r="I104" s="10">
        <v>9791.3398440000001</v>
      </c>
      <c r="J104" s="6">
        <f t="shared" si="19"/>
        <v>6.3581301006410518E-2</v>
      </c>
      <c r="L104" s="1">
        <f t="shared" si="20"/>
        <v>1.382014671123224E-3</v>
      </c>
      <c r="M104" s="1">
        <f t="shared" si="21"/>
        <v>2.5931480176464069E-3</v>
      </c>
      <c r="N104" s="7">
        <f t="shared" si="22"/>
        <v>0.53294862526882225</v>
      </c>
      <c r="P104" s="1">
        <f t="shared" si="14"/>
        <v>1.3379134311276115E-3</v>
      </c>
      <c r="Q104" s="1">
        <f t="shared" si="15"/>
        <v>2.1456041632658233E-3</v>
      </c>
      <c r="R104" s="7">
        <f t="shared" si="23"/>
        <v>0.62356023260654658</v>
      </c>
      <c r="T104" s="1">
        <f t="shared" si="25"/>
        <v>1.680820821247646E-3</v>
      </c>
      <c r="U104" s="1">
        <f t="shared" si="26"/>
        <v>3.0074812660585721E-3</v>
      </c>
      <c r="V104" s="7">
        <f t="shared" si="27"/>
        <v>0.55887989734693533</v>
      </c>
      <c r="X104" s="9"/>
    </row>
    <row r="105" spans="1:24">
      <c r="A105" s="151">
        <v>41760</v>
      </c>
      <c r="B105" s="10">
        <v>219.949997</v>
      </c>
      <c r="C105" s="10">
        <v>276</v>
      </c>
      <c r="D105" s="10">
        <v>216.10000600000001</v>
      </c>
      <c r="E105" s="10">
        <v>256.60000600000001</v>
      </c>
      <c r="F105" s="10">
        <v>217.430374</v>
      </c>
      <c r="G105" s="6">
        <f t="shared" si="18"/>
        <v>0.16662910169987336</v>
      </c>
      <c r="I105" s="10">
        <v>9206.0097659999992</v>
      </c>
      <c r="J105" s="6">
        <f t="shared" si="19"/>
        <v>0.10355356047428516</v>
      </c>
      <c r="L105" s="1">
        <f t="shared" si="20"/>
        <v>1.8626899052872001E-3</v>
      </c>
      <c r="M105" s="1">
        <f t="shared" si="21"/>
        <v>2.780439261538203E-3</v>
      </c>
      <c r="N105" s="7">
        <f t="shared" si="22"/>
        <v>0.66992648645621455</v>
      </c>
      <c r="P105" s="1">
        <f t="shared" si="14"/>
        <v>1.3234295048711743E-3</v>
      </c>
      <c r="Q105" s="1">
        <f t="shared" si="15"/>
        <v>2.1476357382436816E-3</v>
      </c>
      <c r="R105" s="7">
        <f t="shared" si="23"/>
        <v>0.6162262441923525</v>
      </c>
      <c r="T105" s="1">
        <f t="shared" si="25"/>
        <v>1.6993835516618504E-3</v>
      </c>
      <c r="U105" s="1">
        <f t="shared" si="26"/>
        <v>2.9264605424983567E-3</v>
      </c>
      <c r="V105" s="7">
        <f t="shared" si="27"/>
        <v>0.58069587031269687</v>
      </c>
      <c r="X105" s="9"/>
    </row>
    <row r="106" spans="1:24">
      <c r="A106" s="151">
        <v>41730</v>
      </c>
      <c r="B106" s="10">
        <v>227</v>
      </c>
      <c r="C106" s="10">
        <v>231.800003</v>
      </c>
      <c r="D106" s="10">
        <v>213</v>
      </c>
      <c r="E106" s="10">
        <v>219.949997</v>
      </c>
      <c r="F106" s="10">
        <v>186.37489299999999</v>
      </c>
      <c r="G106" s="6">
        <f t="shared" si="18"/>
        <v>-9.6805817796627586E-3</v>
      </c>
      <c r="H106" s="150">
        <f>AVERAGE(E106:E118)</f>
        <v>208.45769092307688</v>
      </c>
      <c r="I106" s="10">
        <v>8342.1503909999992</v>
      </c>
      <c r="J106" s="6">
        <f t="shared" si="19"/>
        <v>5.6527012200620706E-3</v>
      </c>
      <c r="L106" s="1">
        <f t="shared" si="20"/>
        <v>8.5907932705600685E-4</v>
      </c>
      <c r="M106" s="1">
        <f t="shared" si="21"/>
        <v>2.0747362519409275E-3</v>
      </c>
      <c r="N106" s="7">
        <f t="shared" si="22"/>
        <v>0.41406676451155333</v>
      </c>
      <c r="P106" s="1">
        <f t="shared" si="14"/>
        <v>7.6946493332052913E-4</v>
      </c>
      <c r="Q106" s="1">
        <f t="shared" si="15"/>
        <v>2.0476095155429236E-3</v>
      </c>
      <c r="R106" s="7">
        <f t="shared" si="23"/>
        <v>0.37578694935714124</v>
      </c>
      <c r="T106" s="1">
        <f t="shared" si="25"/>
        <v>1.2852203148793892E-3</v>
      </c>
      <c r="U106" s="1">
        <f t="shared" si="26"/>
        <v>2.7230794534412964E-3</v>
      </c>
      <c r="V106" s="7">
        <f t="shared" si="27"/>
        <v>0.47197312338984077</v>
      </c>
      <c r="W106" s="7">
        <f>AVERAGE(V106:V118)</f>
        <v>0.69193778407630735</v>
      </c>
      <c r="X106" s="9"/>
    </row>
    <row r="107" spans="1:24">
      <c r="A107" s="151">
        <v>41699</v>
      </c>
      <c r="B107" s="10">
        <v>205.85000600000001</v>
      </c>
      <c r="C107" s="10">
        <v>226</v>
      </c>
      <c r="D107" s="10">
        <v>200</v>
      </c>
      <c r="E107" s="10">
        <v>222.10000600000001</v>
      </c>
      <c r="F107" s="10">
        <v>188.19674699999999</v>
      </c>
      <c r="G107" s="6">
        <f t="shared" si="18"/>
        <v>7.8679089344114092E-2</v>
      </c>
      <c r="I107" s="10">
        <v>8295.2597659999992</v>
      </c>
      <c r="J107" s="6">
        <f t="shared" si="19"/>
        <v>7.5944066409416547E-2</v>
      </c>
      <c r="L107" s="1">
        <f t="shared" si="20"/>
        <v>9.1381332665914198E-4</v>
      </c>
      <c r="M107" s="1">
        <f t="shared" si="21"/>
        <v>2.1505459357425006E-3</v>
      </c>
      <c r="N107" s="7">
        <f t="shared" si="22"/>
        <v>0.42492155664819009</v>
      </c>
      <c r="P107" s="1">
        <f t="shared" si="14"/>
        <v>8.3300036798096121E-4</v>
      </c>
      <c r="Q107" s="1">
        <f t="shared" si="15"/>
        <v>2.0623576898341498E-3</v>
      </c>
      <c r="R107" s="7">
        <f t="shared" si="23"/>
        <v>0.40390683540833755</v>
      </c>
      <c r="T107" s="1">
        <f t="shared" si="25"/>
        <v>1.2615945614676055E-3</v>
      </c>
      <c r="U107" s="1">
        <f t="shared" si="26"/>
        <v>2.7240003839527102E-3</v>
      </c>
      <c r="V107" s="7">
        <f t="shared" si="27"/>
        <v>0.46314037578693207</v>
      </c>
      <c r="X107" s="9"/>
    </row>
    <row r="108" spans="1:24">
      <c r="A108" s="151">
        <v>41671</v>
      </c>
      <c r="B108" s="10">
        <v>203.300003</v>
      </c>
      <c r="C108" s="10">
        <v>209.449997</v>
      </c>
      <c r="D108" s="10">
        <v>195.5</v>
      </c>
      <c r="E108" s="10">
        <v>205.89999399999999</v>
      </c>
      <c r="F108" s="10">
        <v>174.46963500000001</v>
      </c>
      <c r="G108" s="6">
        <f t="shared" si="18"/>
        <v>1.5536388851448861E-2</v>
      </c>
      <c r="I108" s="10">
        <v>7709.75</v>
      </c>
      <c r="J108" s="6">
        <f t="shared" si="19"/>
        <v>2.8101002456051592E-2</v>
      </c>
      <c r="L108" s="1">
        <f t="shared" si="20"/>
        <v>7.6376799284996136E-4</v>
      </c>
      <c r="M108" s="1">
        <f t="shared" si="21"/>
        <v>1.8043626788828509E-3</v>
      </c>
      <c r="N108" s="7">
        <f t="shared" si="22"/>
        <v>0.42328962009059012</v>
      </c>
      <c r="P108" s="1">
        <f t="shared" si="14"/>
        <v>5.5155174960188431E-4</v>
      </c>
      <c r="Q108" s="1">
        <f t="shared" si="15"/>
        <v>1.8805023158662076E-3</v>
      </c>
      <c r="R108" s="7">
        <f t="shared" si="23"/>
        <v>0.29330022353512786</v>
      </c>
      <c r="T108" s="1">
        <f t="shared" si="25"/>
        <v>1.3770763340485602E-3</v>
      </c>
      <c r="U108" s="1">
        <f t="shared" si="26"/>
        <v>2.7664101778650764E-3</v>
      </c>
      <c r="V108" s="7">
        <f t="shared" si="27"/>
        <v>0.49778458200702985</v>
      </c>
      <c r="X108" s="9"/>
    </row>
    <row r="109" spans="1:24">
      <c r="A109" s="151">
        <v>41640</v>
      </c>
      <c r="B109" s="10">
        <v>236.800003</v>
      </c>
      <c r="C109" s="10">
        <v>256.20001200000002</v>
      </c>
      <c r="D109" s="10">
        <v>199</v>
      </c>
      <c r="E109" s="10">
        <v>202.75</v>
      </c>
      <c r="F109" s="10">
        <v>171.800476</v>
      </c>
      <c r="G109" s="6">
        <f t="shared" si="18"/>
        <v>-0.15167354126040336</v>
      </c>
      <c r="I109" s="10">
        <v>7499.0200199999999</v>
      </c>
      <c r="J109" s="6">
        <f t="shared" si="19"/>
        <v>-4.2067645319768025E-2</v>
      </c>
      <c r="L109" s="1">
        <f t="shared" si="20"/>
        <v>1.3210269588159712E-3</v>
      </c>
      <c r="M109" s="1">
        <f t="shared" si="21"/>
        <v>2.1744683793488485E-3</v>
      </c>
      <c r="N109" s="7">
        <f t="shared" si="22"/>
        <v>0.60751720805043707</v>
      </c>
      <c r="P109" s="1">
        <f t="shared" si="14"/>
        <v>6.0922523803934715E-4</v>
      </c>
      <c r="Q109" s="1">
        <f t="shared" si="15"/>
        <v>1.9321426270979894E-3</v>
      </c>
      <c r="R109" s="7">
        <f t="shared" si="23"/>
        <v>0.31531069678555879</v>
      </c>
      <c r="T109" s="1">
        <f t="shared" si="25"/>
        <v>1.2285071907528259E-3</v>
      </c>
      <c r="U109" s="1">
        <f t="shared" si="26"/>
        <v>2.8013959470750359E-3</v>
      </c>
      <c r="V109" s="7">
        <f t="shared" si="27"/>
        <v>0.43853393592416734</v>
      </c>
      <c r="W109" s="7"/>
      <c r="X109" s="9"/>
    </row>
    <row r="110" spans="1:24">
      <c r="A110" s="151">
        <v>41609</v>
      </c>
      <c r="B110" s="10">
        <v>232.050003</v>
      </c>
      <c r="C110" s="10">
        <v>260.5</v>
      </c>
      <c r="D110" s="10">
        <v>221</v>
      </c>
      <c r="E110" s="10">
        <v>239</v>
      </c>
      <c r="F110" s="10">
        <v>202.51693700000001</v>
      </c>
      <c r="G110" s="6">
        <f t="shared" si="18"/>
        <v>8.6514888652297079E-3</v>
      </c>
      <c r="I110" s="10">
        <v>7828.3398440000001</v>
      </c>
      <c r="J110" s="6">
        <f t="shared" si="19"/>
        <v>3.0287381393934679E-2</v>
      </c>
      <c r="L110" s="1">
        <f t="shared" si="20"/>
        <v>6.4394563777516096E-4</v>
      </c>
      <c r="M110" s="1">
        <f t="shared" si="21"/>
        <v>2.011559082022323E-3</v>
      </c>
      <c r="N110" s="7">
        <f t="shared" si="22"/>
        <v>0.32012265686363511</v>
      </c>
      <c r="P110" s="1">
        <f t="shared" si="14"/>
        <v>9.5991573807663558E-5</v>
      </c>
      <c r="Q110" s="1">
        <f t="shared" si="15"/>
        <v>2.4724260295399814E-3</v>
      </c>
      <c r="R110" s="7">
        <f t="shared" si="23"/>
        <v>3.8824851648048581E-2</v>
      </c>
      <c r="T110" s="1">
        <f t="shared" si="25"/>
        <v>1.8389527579377506E-3</v>
      </c>
      <c r="U110" s="1">
        <f t="shared" si="26"/>
        <v>3.0702052103112019E-3</v>
      </c>
      <c r="V110" s="7">
        <f t="shared" si="27"/>
        <v>0.59896737578376746</v>
      </c>
      <c r="X110" s="9"/>
    </row>
    <row r="111" spans="1:24">
      <c r="A111" s="151">
        <v>41579</v>
      </c>
      <c r="B111" s="10">
        <v>218.14999399999999</v>
      </c>
      <c r="C111" s="10">
        <v>241</v>
      </c>
      <c r="D111" s="10">
        <v>210</v>
      </c>
      <c r="E111" s="10">
        <v>236.949997</v>
      </c>
      <c r="F111" s="10">
        <v>200.77989199999999</v>
      </c>
      <c r="G111" s="6">
        <f t="shared" si="18"/>
        <v>7.1444648519592799E-2</v>
      </c>
      <c r="I111" s="10">
        <v>7598.2099609999996</v>
      </c>
      <c r="J111" s="6">
        <f t="shared" si="19"/>
        <v>-7.6287128141975732E-3</v>
      </c>
      <c r="L111" s="1">
        <f t="shared" si="20"/>
        <v>5.8264810839273463E-4</v>
      </c>
      <c r="M111" s="1">
        <f t="shared" si="21"/>
        <v>1.9559096140063896E-3</v>
      </c>
      <c r="N111" s="7">
        <f t="shared" si="22"/>
        <v>0.29789112146101004</v>
      </c>
      <c r="P111" s="1">
        <f t="shared" si="14"/>
        <v>1.8171113634158799E-4</v>
      </c>
      <c r="Q111" s="1">
        <f t="shared" si="15"/>
        <v>2.6555885260229851E-3</v>
      </c>
      <c r="R111" s="7">
        <f t="shared" si="23"/>
        <v>6.8425938190702668E-2</v>
      </c>
      <c r="T111" s="1">
        <f t="shared" si="25"/>
        <v>1.970477146116222E-3</v>
      </c>
      <c r="U111" s="1">
        <f t="shared" si="26"/>
        <v>3.0713285714536773E-3</v>
      </c>
      <c r="V111" s="7">
        <f t="shared" si="27"/>
        <v>0.6415715871075246</v>
      </c>
      <c r="X111" s="9"/>
    </row>
    <row r="112" spans="1:24">
      <c r="A112" s="151">
        <v>41548</v>
      </c>
      <c r="B112" s="10">
        <v>235</v>
      </c>
      <c r="C112" s="10">
        <v>235.89999399999999</v>
      </c>
      <c r="D112" s="10">
        <v>217.550003</v>
      </c>
      <c r="E112" s="10">
        <v>221.14999399999999</v>
      </c>
      <c r="F112" s="10">
        <v>187.39175399999999</v>
      </c>
      <c r="G112" s="6">
        <f t="shared" si="18"/>
        <v>-4.8817247880722073E-2</v>
      </c>
      <c r="I112" s="10">
        <v>7656.6201170000004</v>
      </c>
      <c r="J112" s="6">
        <f t="shared" si="19"/>
        <v>9.0692847186739228E-2</v>
      </c>
      <c r="L112" s="1">
        <f t="shared" si="20"/>
        <v>5.6713885647761899E-4</v>
      </c>
      <c r="M112" s="1">
        <f t="shared" si="21"/>
        <v>2.1264036518104535E-3</v>
      </c>
      <c r="N112" s="7">
        <f t="shared" si="22"/>
        <v>0.26671269868952119</v>
      </c>
      <c r="P112" s="1">
        <f t="shared" si="14"/>
        <v>8.1752890489767294E-4</v>
      </c>
      <c r="Q112" s="1">
        <f t="shared" si="15"/>
        <v>3.1149020084473675E-3</v>
      </c>
      <c r="R112" s="7">
        <f t="shared" si="23"/>
        <v>0.26245734301772555</v>
      </c>
      <c r="T112" s="1">
        <f t="shared" si="25"/>
        <v>2.1601183781826271E-3</v>
      </c>
      <c r="U112" s="1">
        <f t="shared" si="26"/>
        <v>3.1145846718803028E-3</v>
      </c>
      <c r="V112" s="7">
        <f t="shared" si="27"/>
        <v>0.69354941533136882</v>
      </c>
      <c r="X112" s="9"/>
    </row>
    <row r="113" spans="1:24">
      <c r="A113" s="151">
        <v>41518</v>
      </c>
      <c r="B113" s="10">
        <v>190</v>
      </c>
      <c r="C113" s="10">
        <v>238.449997</v>
      </c>
      <c r="D113" s="10">
        <v>183</v>
      </c>
      <c r="E113" s="10">
        <v>232.5</v>
      </c>
      <c r="F113" s="10">
        <v>197.00920099999999</v>
      </c>
      <c r="G113" s="6">
        <f t="shared" si="18"/>
        <v>0.20030992992022267</v>
      </c>
      <c r="I113" s="10">
        <v>7019.9599609999996</v>
      </c>
      <c r="J113" s="6">
        <f t="shared" si="19"/>
        <v>5.1843283750859774E-2</v>
      </c>
      <c r="L113" s="1">
        <f t="shared" si="20"/>
        <v>8.6485301312694588E-4</v>
      </c>
      <c r="M113" s="1">
        <f t="shared" si="21"/>
        <v>1.4438877796370457E-3</v>
      </c>
      <c r="N113" s="7">
        <f t="shared" si="22"/>
        <v>0.59897522877044262</v>
      </c>
      <c r="P113" s="1">
        <f t="shared" si="14"/>
        <v>1.1844150914276082E-3</v>
      </c>
      <c r="Q113" s="1">
        <f t="shared" si="15"/>
        <v>2.9256847176653677E-3</v>
      </c>
      <c r="R113" s="7">
        <f t="shared" si="23"/>
        <v>0.4048334683078037</v>
      </c>
      <c r="T113" s="1">
        <f t="shared" si="25"/>
        <v>2.2939341378443606E-3</v>
      </c>
      <c r="U113" s="1">
        <f t="shared" si="26"/>
        <v>2.8759549492674958E-3</v>
      </c>
      <c r="V113" s="7">
        <f t="shared" si="27"/>
        <v>0.79762519869395887</v>
      </c>
      <c r="X113" s="9"/>
    </row>
    <row r="114" spans="1:24">
      <c r="A114" s="151">
        <v>41487</v>
      </c>
      <c r="B114" s="10">
        <v>170</v>
      </c>
      <c r="C114" s="10">
        <v>198.85000600000001</v>
      </c>
      <c r="D114" s="10">
        <v>167</v>
      </c>
      <c r="E114" s="10">
        <v>193.699997</v>
      </c>
      <c r="F114" s="10">
        <v>164.13194300000001</v>
      </c>
      <c r="G114" s="6">
        <f t="shared" si="18"/>
        <v>0.19600794863317061</v>
      </c>
      <c r="I114" s="10">
        <v>6673.9599609999996</v>
      </c>
      <c r="J114" s="6">
        <f t="shared" si="19"/>
        <v>-4.4606315795473542E-2</v>
      </c>
      <c r="L114" s="1">
        <f t="shared" si="20"/>
        <v>-1.0825135653936282E-4</v>
      </c>
      <c r="M114" s="1">
        <f t="shared" si="21"/>
        <v>1.9225280181573838E-3</v>
      </c>
      <c r="N114" s="7">
        <f t="shared" si="22"/>
        <v>-5.6306777075277474E-2</v>
      </c>
      <c r="P114" s="1">
        <f t="shared" si="14"/>
        <v>7.7253820155406654E-4</v>
      </c>
      <c r="Q114" s="1">
        <f t="shared" si="15"/>
        <v>2.842521715518226E-3</v>
      </c>
      <c r="R114" s="7">
        <f t="shared" si="23"/>
        <v>0.27177917316745054</v>
      </c>
      <c r="T114" s="1">
        <f t="shared" si="25"/>
        <v>2.4220192073765535E-3</v>
      </c>
      <c r="U114" s="1">
        <f t="shared" si="26"/>
        <v>3.0625605447957339E-3</v>
      </c>
      <c r="V114" s="7">
        <f t="shared" si="27"/>
        <v>0.79084777980710808</v>
      </c>
      <c r="X114" s="9"/>
    </row>
    <row r="115" spans="1:24">
      <c r="A115" s="151">
        <v>41456</v>
      </c>
      <c r="B115" s="10">
        <v>187</v>
      </c>
      <c r="C115" s="10">
        <v>189.949997</v>
      </c>
      <c r="D115" s="10">
        <v>162.39999399999999</v>
      </c>
      <c r="E115" s="10">
        <v>166.14999399999999</v>
      </c>
      <c r="F115" s="10">
        <v>137.23315400000001</v>
      </c>
      <c r="G115" s="6">
        <f t="shared" si="18"/>
        <v>-7.3560082646019528E-2</v>
      </c>
      <c r="I115" s="10">
        <v>6985.5600590000004</v>
      </c>
      <c r="J115" s="6">
        <f t="shared" si="19"/>
        <v>-2.4916039023954808E-2</v>
      </c>
      <c r="L115" s="1">
        <f t="shared" si="20"/>
        <v>7.4830576629093554E-4</v>
      </c>
      <c r="M115" s="1">
        <f t="shared" si="21"/>
        <v>1.7123048661802425E-3</v>
      </c>
      <c r="N115" s="7">
        <f t="shared" si="22"/>
        <v>0.43701666745842593</v>
      </c>
      <c r="P115" s="1">
        <f t="shared" ref="P115:P158" si="28">COVAR(G115:G138,J115:J138)</f>
        <v>1.3039197888845371E-3</v>
      </c>
      <c r="Q115" s="1">
        <f t="shared" ref="Q115:Q158" si="29">VAR(J115:J138)</f>
        <v>3.0969715730975165E-3</v>
      </c>
      <c r="R115" s="7">
        <f t="shared" ref="R115:R158" si="30">P115/Q115</f>
        <v>0.42103059653866565</v>
      </c>
      <c r="T115" s="1">
        <f t="shared" si="25"/>
        <v>2.6631566925294035E-3</v>
      </c>
      <c r="U115" s="1">
        <f t="shared" si="26"/>
        <v>3.0102513224646529E-3</v>
      </c>
      <c r="V115" s="7">
        <f t="shared" si="27"/>
        <v>0.88469579687749644</v>
      </c>
      <c r="X115" s="9"/>
    </row>
    <row r="116" spans="1:24">
      <c r="A116" s="151">
        <v>41426</v>
      </c>
      <c r="B116" s="10">
        <v>190.949997</v>
      </c>
      <c r="C116" s="10">
        <v>201</v>
      </c>
      <c r="D116" s="10">
        <v>167.550003</v>
      </c>
      <c r="E116" s="10">
        <v>183.800003</v>
      </c>
      <c r="F116" s="10">
        <v>148.12957800000001</v>
      </c>
      <c r="G116" s="6">
        <f t="shared" si="18"/>
        <v>-4.0208951376469848E-2</v>
      </c>
      <c r="I116" s="10">
        <v>7164.0600590000004</v>
      </c>
      <c r="J116" s="6">
        <f t="shared" si="19"/>
        <v>-3.7333267877560979E-2</v>
      </c>
      <c r="L116" s="1">
        <f t="shared" si="20"/>
        <v>6.4353818565759978E-4</v>
      </c>
      <c r="M116" s="1">
        <f t="shared" si="21"/>
        <v>1.653205836849573E-3</v>
      </c>
      <c r="N116" s="7">
        <f t="shared" si="22"/>
        <v>0.38926682407797236</v>
      </c>
      <c r="P116" s="1">
        <f t="shared" si="28"/>
        <v>1.2880336570026644E-3</v>
      </c>
      <c r="Q116" s="1">
        <f t="shared" si="29"/>
        <v>3.0892572885626306E-3</v>
      </c>
      <c r="R116" s="7">
        <f t="shared" si="30"/>
        <v>0.41693958666743508</v>
      </c>
      <c r="T116" s="1">
        <f t="shared" si="25"/>
        <v>2.6799581145163193E-3</v>
      </c>
      <c r="U116" s="1">
        <f t="shared" si="26"/>
        <v>2.9970598582379896E-3</v>
      </c>
      <c r="V116" s="7">
        <f t="shared" si="27"/>
        <v>0.89419572557082705</v>
      </c>
      <c r="X116" s="9"/>
    </row>
    <row r="117" spans="1:24">
      <c r="A117" s="151">
        <v>41395</v>
      </c>
      <c r="B117" s="10">
        <v>194.5</v>
      </c>
      <c r="C117" s="10">
        <v>204.75</v>
      </c>
      <c r="D117" s="10">
        <v>183.050003</v>
      </c>
      <c r="E117" s="10">
        <v>191.5</v>
      </c>
      <c r="F117" s="10">
        <v>154.33523600000001</v>
      </c>
      <c r="G117" s="6">
        <f t="shared" si="18"/>
        <v>-1.5424168443936917E-2</v>
      </c>
      <c r="I117" s="10">
        <v>7441.8901370000003</v>
      </c>
      <c r="J117" s="6">
        <f t="shared" si="19"/>
        <v>7.6693594665042247E-3</v>
      </c>
      <c r="L117" s="1">
        <f t="shared" si="20"/>
        <v>6.7219807336056029E-4</v>
      </c>
      <c r="M117" s="1">
        <f t="shared" si="21"/>
        <v>1.7008512507212825E-3</v>
      </c>
      <c r="N117" s="7">
        <f t="shared" si="22"/>
        <v>0.39521273425615572</v>
      </c>
      <c r="P117" s="1">
        <f t="shared" si="28"/>
        <v>1.3490925927079518E-3</v>
      </c>
      <c r="Q117" s="1">
        <f t="shared" si="29"/>
        <v>3.0362361019275305E-3</v>
      </c>
      <c r="R117" s="7">
        <f t="shared" si="30"/>
        <v>0.44433059466340286</v>
      </c>
      <c r="T117" s="1">
        <f t="shared" si="25"/>
        <v>2.8116134797596943E-3</v>
      </c>
      <c r="U117" s="1">
        <f t="shared" si="26"/>
        <v>3.0031935902893711E-3</v>
      </c>
      <c r="V117" s="7">
        <f t="shared" si="27"/>
        <v>0.93620787179716336</v>
      </c>
      <c r="X117" s="9"/>
    </row>
    <row r="118" spans="1:24">
      <c r="A118" s="151">
        <v>41365</v>
      </c>
      <c r="B118" s="10">
        <v>188</v>
      </c>
      <c r="C118" s="10">
        <v>212</v>
      </c>
      <c r="D118" s="10">
        <v>180</v>
      </c>
      <c r="E118" s="10">
        <v>194.5</v>
      </c>
      <c r="F118" s="10">
        <v>156.75302099999999</v>
      </c>
      <c r="G118" s="6">
        <f t="shared" si="18"/>
        <v>5.1351201711506395E-2</v>
      </c>
      <c r="H118" s="150">
        <f>AVERAGE(E118:E130)</f>
        <v>248.42307230769228</v>
      </c>
      <c r="I118" s="10">
        <v>7385.25</v>
      </c>
      <c r="J118" s="6">
        <f t="shared" si="19"/>
        <v>4.238415469571917E-2</v>
      </c>
      <c r="L118" s="1">
        <f t="shared" si="20"/>
        <v>6.4127261146142264E-4</v>
      </c>
      <c r="M118" s="1">
        <f t="shared" si="21"/>
        <v>2.2045202667662555E-3</v>
      </c>
      <c r="N118" s="7">
        <f t="shared" si="22"/>
        <v>0.29088986893374591</v>
      </c>
      <c r="P118" s="1">
        <f t="shared" si="28"/>
        <v>1.3781572010713864E-3</v>
      </c>
      <c r="Q118" s="1">
        <f t="shared" si="29"/>
        <v>3.1175106141094924E-3</v>
      </c>
      <c r="R118" s="7">
        <f t="shared" si="30"/>
        <v>0.442069770294929</v>
      </c>
      <c r="T118" s="1">
        <f t="shared" si="25"/>
        <v>2.7019393681814558E-3</v>
      </c>
      <c r="U118" s="1">
        <f t="shared" si="26"/>
        <v>3.0492542275325856E-3</v>
      </c>
      <c r="V118" s="7">
        <f t="shared" si="27"/>
        <v>0.88609842491481194</v>
      </c>
      <c r="W118" s="7">
        <f>AVERAGE(V118:V130)</f>
        <v>0.91598498644548298</v>
      </c>
      <c r="X118" s="9"/>
    </row>
    <row r="119" spans="1:24">
      <c r="A119" s="151">
        <v>41334</v>
      </c>
      <c r="B119" s="10">
        <v>201</v>
      </c>
      <c r="C119" s="10">
        <v>218.89999399999999</v>
      </c>
      <c r="D119" s="10">
        <v>181.14999399999999</v>
      </c>
      <c r="E119" s="10">
        <v>185</v>
      </c>
      <c r="F119" s="10">
        <v>149.09672499999999</v>
      </c>
      <c r="G119" s="6">
        <f t="shared" si="18"/>
        <v>-8.4158218183611896E-2</v>
      </c>
      <c r="I119" s="10">
        <v>7084.9599609999996</v>
      </c>
      <c r="J119" s="6">
        <f t="shared" si="19"/>
        <v>-1.0990143438426081E-2</v>
      </c>
      <c r="L119" s="1">
        <f t="shared" si="20"/>
        <v>4.9313162312167075E-4</v>
      </c>
      <c r="M119" s="1">
        <f t="shared" si="21"/>
        <v>2.1143509520406057E-3</v>
      </c>
      <c r="N119" s="7">
        <f t="shared" si="22"/>
        <v>0.23323073335849887</v>
      </c>
      <c r="P119" s="1">
        <f t="shared" si="28"/>
        <v>1.2502314141787376E-3</v>
      </c>
      <c r="Q119" s="1">
        <f t="shared" si="29"/>
        <v>3.0407505224077404E-3</v>
      </c>
      <c r="R119" s="7">
        <f t="shared" si="30"/>
        <v>0.41115882574568263</v>
      </c>
      <c r="T119" s="1">
        <f t="shared" si="25"/>
        <v>2.7196543532219627E-3</v>
      </c>
      <c r="U119" s="1">
        <f t="shared" si="26"/>
        <v>3.0104216900158692E-3</v>
      </c>
      <c r="V119" s="7">
        <f t="shared" si="27"/>
        <v>0.90341308735641823</v>
      </c>
      <c r="X119" s="9"/>
    </row>
    <row r="120" spans="1:24">
      <c r="A120" s="151">
        <v>41306</v>
      </c>
      <c r="B120" s="10">
        <v>226.75</v>
      </c>
      <c r="C120" s="10">
        <v>228</v>
      </c>
      <c r="D120" s="10">
        <v>198</v>
      </c>
      <c r="E120" s="10">
        <v>202</v>
      </c>
      <c r="F120" s="10">
        <v>162.79747</v>
      </c>
      <c r="G120" s="6">
        <f t="shared" si="18"/>
        <v>-9.4779378653692972E-2</v>
      </c>
      <c r="I120" s="10">
        <v>7163.6899409999996</v>
      </c>
      <c r="J120" s="6">
        <f t="shared" si="19"/>
        <v>-6.5492734905527747E-2</v>
      </c>
      <c r="L120" s="1">
        <f t="shared" si="20"/>
        <v>3.0283199558193416E-4</v>
      </c>
      <c r="M120" s="1">
        <f t="shared" si="21"/>
        <v>2.124612426556715E-3</v>
      </c>
      <c r="N120" s="7">
        <f t="shared" si="22"/>
        <v>0.14253517102539184</v>
      </c>
      <c r="P120" s="1">
        <f t="shared" si="28"/>
        <v>1.6656048269812487E-3</v>
      </c>
      <c r="Q120" s="1">
        <f t="shared" si="29"/>
        <v>3.3425267117867053E-3</v>
      </c>
      <c r="R120" s="7">
        <f t="shared" si="30"/>
        <v>0.49830711033896891</v>
      </c>
      <c r="T120" s="1">
        <f t="shared" si="25"/>
        <v>2.9228001814333429E-3</v>
      </c>
      <c r="U120" s="1">
        <f t="shared" si="26"/>
        <v>3.1022643109384169E-3</v>
      </c>
      <c r="V120" s="7">
        <f t="shared" si="27"/>
        <v>0.94215059984660454</v>
      </c>
      <c r="X120" s="9"/>
    </row>
    <row r="121" spans="1:24">
      <c r="A121" s="151">
        <v>41275</v>
      </c>
      <c r="B121" s="10">
        <v>262.04998799999998</v>
      </c>
      <c r="C121" s="10">
        <v>268.70001200000002</v>
      </c>
      <c r="D121" s="10">
        <v>210.050003</v>
      </c>
      <c r="E121" s="10">
        <v>223.14999399999999</v>
      </c>
      <c r="F121" s="10">
        <v>179.84286499999999</v>
      </c>
      <c r="G121" s="6">
        <f t="shared" si="18"/>
        <v>-0.14844506315457251</v>
      </c>
      <c r="I121" s="10">
        <v>7665.7402339999999</v>
      </c>
      <c r="J121" s="6">
        <f t="shared" si="19"/>
        <v>1.1101976497473159E-2</v>
      </c>
      <c r="L121" s="1">
        <f t="shared" si="20"/>
        <v>-2.2694328654199744E-5</v>
      </c>
      <c r="M121" s="1">
        <f t="shared" si="21"/>
        <v>1.7453957195579615E-3</v>
      </c>
      <c r="N121" s="7">
        <f t="shared" si="22"/>
        <v>-1.3002397335973361E-2</v>
      </c>
      <c r="P121" s="1">
        <f t="shared" si="28"/>
        <v>1.177564458505519E-3</v>
      </c>
      <c r="Q121" s="1">
        <f t="shared" si="29"/>
        <v>3.2128899655427226E-3</v>
      </c>
      <c r="R121" s="7">
        <f t="shared" si="30"/>
        <v>0.36651253890875296</v>
      </c>
      <c r="T121" s="1">
        <f t="shared" si="25"/>
        <v>2.7009638644357697E-3</v>
      </c>
      <c r="U121" s="1">
        <f t="shared" si="26"/>
        <v>2.9604711663076093E-3</v>
      </c>
      <c r="V121" s="7">
        <f t="shared" si="27"/>
        <v>0.91234256735035013</v>
      </c>
      <c r="W121" s="7"/>
      <c r="X121" s="9"/>
    </row>
    <row r="122" spans="1:24">
      <c r="A122" s="151">
        <v>41244</v>
      </c>
      <c r="B122" s="10">
        <v>280</v>
      </c>
      <c r="C122" s="10">
        <v>285</v>
      </c>
      <c r="D122" s="10">
        <v>252.60000600000001</v>
      </c>
      <c r="E122" s="10">
        <v>262.04998799999998</v>
      </c>
      <c r="F122" s="10">
        <v>211.19349700000001</v>
      </c>
      <c r="G122" s="6">
        <f t="shared" si="18"/>
        <v>-4.2389859154970372E-2</v>
      </c>
      <c r="I122" s="10">
        <v>7581.5698240000002</v>
      </c>
      <c r="J122" s="6">
        <f t="shared" si="19"/>
        <v>1.4602924897781778E-2</v>
      </c>
      <c r="L122" s="1">
        <f t="shared" si="20"/>
        <v>-4.333983956229587E-4</v>
      </c>
      <c r="M122" s="1">
        <f t="shared" si="21"/>
        <v>2.9267268558693491E-3</v>
      </c>
      <c r="N122" s="7">
        <f t="shared" si="22"/>
        <v>-0.14808296672913226</v>
      </c>
      <c r="P122" s="1">
        <f t="shared" si="28"/>
        <v>2.4330571055438182E-3</v>
      </c>
      <c r="Q122" s="1">
        <f t="shared" si="29"/>
        <v>3.7048392121760147E-3</v>
      </c>
      <c r="R122" s="7">
        <f t="shared" si="30"/>
        <v>0.65672407524395016</v>
      </c>
      <c r="T122" s="1">
        <f t="shared" si="25"/>
        <v>2.5005008578117545E-3</v>
      </c>
      <c r="U122" s="1">
        <f t="shared" si="26"/>
        <v>3.0419310278205509E-3</v>
      </c>
      <c r="V122" s="7">
        <f t="shared" si="27"/>
        <v>0.8220110301459681</v>
      </c>
      <c r="X122" s="9"/>
    </row>
    <row r="123" spans="1:24">
      <c r="A123" s="151">
        <v>41214</v>
      </c>
      <c r="B123" s="10">
        <v>279.20001200000002</v>
      </c>
      <c r="C123" s="10">
        <v>285</v>
      </c>
      <c r="D123" s="10">
        <v>268.39999399999999</v>
      </c>
      <c r="E123" s="10">
        <v>273.64999399999999</v>
      </c>
      <c r="F123" s="10">
        <v>220.54225199999999</v>
      </c>
      <c r="G123" s="6">
        <f t="shared" si="18"/>
        <v>-3.2183807719258051E-2</v>
      </c>
      <c r="I123" s="10">
        <v>7472.4501950000003</v>
      </c>
      <c r="J123" s="6">
        <f t="shared" si="19"/>
        <v>4.9682764579603661E-2</v>
      </c>
      <c r="L123" s="1">
        <f t="shared" si="20"/>
        <v>-2.4539444699906695E-4</v>
      </c>
      <c r="M123" s="1">
        <f t="shared" si="21"/>
        <v>3.4557356825378072E-3</v>
      </c>
      <c r="N123" s="7">
        <f t="shared" si="22"/>
        <v>-7.1010768629982526E-2</v>
      </c>
      <c r="P123" s="1">
        <f t="shared" si="28"/>
        <v>2.6708043073201166E-3</v>
      </c>
      <c r="Q123" s="1">
        <f t="shared" si="29"/>
        <v>3.737117046252372E-3</v>
      </c>
      <c r="R123" s="7">
        <f t="shared" si="30"/>
        <v>0.71466969705924321</v>
      </c>
      <c r="T123" s="1">
        <f t="shared" si="25"/>
        <v>2.561500980157728E-3</v>
      </c>
      <c r="U123" s="1">
        <f t="shared" si="26"/>
        <v>3.0729294857894246E-3</v>
      </c>
      <c r="V123" s="7">
        <f t="shared" si="27"/>
        <v>0.83356972296410747</v>
      </c>
      <c r="X123" s="9"/>
    </row>
    <row r="124" spans="1:24">
      <c r="A124" s="151">
        <v>41183</v>
      </c>
      <c r="B124" s="10">
        <v>292</v>
      </c>
      <c r="C124" s="10">
        <v>302.39999399999999</v>
      </c>
      <c r="D124" s="10">
        <v>269.89999399999999</v>
      </c>
      <c r="E124" s="10">
        <v>282.75</v>
      </c>
      <c r="F124" s="10">
        <v>227.87617499999999</v>
      </c>
      <c r="G124" s="6">
        <f t="shared" si="18"/>
        <v>-1.9250776014494615E-2</v>
      </c>
      <c r="I124" s="10">
        <v>7118.7700199999999</v>
      </c>
      <c r="J124" s="6">
        <f t="shared" si="19"/>
        <v>-1.2175067938428739E-2</v>
      </c>
      <c r="L124" s="1">
        <f t="shared" si="20"/>
        <v>1.069088364944954E-3</v>
      </c>
      <c r="M124" s="1">
        <f t="shared" si="21"/>
        <v>4.3862206502518339E-3</v>
      </c>
      <c r="N124" s="7">
        <f t="shared" si="22"/>
        <v>0.24373793527317703</v>
      </c>
      <c r="P124" s="1">
        <f t="shared" si="28"/>
        <v>3.0041950569817937E-3</v>
      </c>
      <c r="Q124" s="1">
        <f t="shared" si="29"/>
        <v>3.6854037233729148E-3</v>
      </c>
      <c r="R124" s="7">
        <f t="shared" si="30"/>
        <v>0.81516036843646733</v>
      </c>
      <c r="T124" s="1">
        <f t="shared" si="25"/>
        <v>2.65687864359325E-3</v>
      </c>
      <c r="U124" s="1">
        <f t="shared" si="26"/>
        <v>3.1439245773947082E-3</v>
      </c>
      <c r="V124" s="7">
        <f t="shared" si="27"/>
        <v>0.84508345483113945</v>
      </c>
      <c r="X124" s="9"/>
    </row>
    <row r="125" spans="1:24">
      <c r="A125" s="151">
        <v>41153</v>
      </c>
      <c r="B125" s="10">
        <v>299.70001200000002</v>
      </c>
      <c r="C125" s="10">
        <v>304.79998799999998</v>
      </c>
      <c r="D125" s="10">
        <v>273.10000600000001</v>
      </c>
      <c r="E125" s="10">
        <v>288.29998799999998</v>
      </c>
      <c r="F125" s="10">
        <v>232.349075</v>
      </c>
      <c r="G125" s="6">
        <f t="shared" si="18"/>
        <v>-2.2048629609408666E-2</v>
      </c>
      <c r="I125" s="10">
        <v>7206.5097660000001</v>
      </c>
      <c r="J125" s="6">
        <f t="shared" si="19"/>
        <v>8.9193868928780742E-2</v>
      </c>
      <c r="L125" s="1">
        <f t="shared" si="20"/>
        <v>1.437455613812987E-3</v>
      </c>
      <c r="M125" s="1">
        <f t="shared" si="21"/>
        <v>4.5709390533157594E-3</v>
      </c>
      <c r="N125" s="7">
        <f t="shared" si="22"/>
        <v>0.31447709038479887</v>
      </c>
      <c r="P125" s="1">
        <f t="shared" si="28"/>
        <v>3.0131650107490244E-3</v>
      </c>
      <c r="Q125" s="1">
        <f t="shared" si="29"/>
        <v>3.685557755696988E-3</v>
      </c>
      <c r="R125" s="7">
        <f t="shared" si="30"/>
        <v>0.81756011178807175</v>
      </c>
      <c r="T125" s="1">
        <f t="shared" si="25"/>
        <v>2.66301077182643E-3</v>
      </c>
      <c r="U125" s="1">
        <f t="shared" si="26"/>
        <v>3.2659121895258878E-3</v>
      </c>
      <c r="V125" s="7">
        <f t="shared" si="27"/>
        <v>0.81539570487136059</v>
      </c>
      <c r="X125" s="9"/>
    </row>
    <row r="126" spans="1:24">
      <c r="A126" s="151">
        <v>41122</v>
      </c>
      <c r="B126" s="10">
        <v>249.89999399999999</v>
      </c>
      <c r="C126" s="10">
        <v>299.70001200000002</v>
      </c>
      <c r="D126" s="10">
        <v>242.5</v>
      </c>
      <c r="E126" s="10">
        <v>294.79998799999998</v>
      </c>
      <c r="F126" s="10">
        <v>237.58755500000001</v>
      </c>
      <c r="G126" s="6">
        <f t="shared" si="18"/>
        <v>0.20470010477484887</v>
      </c>
      <c r="I126" s="10">
        <v>6616.3701170000004</v>
      </c>
      <c r="J126" s="6">
        <f t="shared" si="19"/>
        <v>1.6152598036581105E-3</v>
      </c>
      <c r="L126" s="1">
        <f t="shared" si="20"/>
        <v>1.6263966274415766E-3</v>
      </c>
      <c r="M126" s="1">
        <f t="shared" si="21"/>
        <v>4.0190384219276213E-3</v>
      </c>
      <c r="N126" s="7">
        <f t="shared" si="22"/>
        <v>0.40467307268526193</v>
      </c>
      <c r="P126" s="1">
        <f t="shared" si="28"/>
        <v>3.7387917609770084E-3</v>
      </c>
      <c r="Q126" s="1">
        <f t="shared" si="29"/>
        <v>3.7357995771975998E-3</v>
      </c>
      <c r="R126" s="7">
        <f t="shared" si="30"/>
        <v>1.0008009486905218</v>
      </c>
      <c r="T126" s="1">
        <f t="shared" si="25"/>
        <v>3.210568242758225E-3</v>
      </c>
      <c r="U126" s="1">
        <f t="shared" si="26"/>
        <v>3.241739988694052E-3</v>
      </c>
      <c r="V126" s="7">
        <f t="shared" si="27"/>
        <v>0.99038425473833736</v>
      </c>
      <c r="X126" s="9"/>
    </row>
    <row r="127" spans="1:24">
      <c r="A127" s="151">
        <v>41091</v>
      </c>
      <c r="B127" s="10">
        <v>257</v>
      </c>
      <c r="C127" s="10">
        <v>285.85000600000001</v>
      </c>
      <c r="D127" s="10">
        <v>234</v>
      </c>
      <c r="E127" s="10">
        <v>247.5</v>
      </c>
      <c r="F127" s="10">
        <v>197.21717799999999</v>
      </c>
      <c r="G127" s="6">
        <f t="shared" si="18"/>
        <v>-3.902160689142372E-2</v>
      </c>
      <c r="I127" s="10">
        <v>6605.7001950000003</v>
      </c>
      <c r="J127" s="6">
        <f t="shared" si="19"/>
        <v>-1.1488269686212126E-2</v>
      </c>
      <c r="L127" s="1">
        <f t="shared" ref="L127:L171" si="31">COVAR(G127:G138,J127:J138)</f>
        <v>1.8926307126728057E-3</v>
      </c>
      <c r="M127" s="1">
        <f t="shared" ref="M127:M171" si="32">VAR(J127:J138)</f>
        <v>4.7145813759329044E-3</v>
      </c>
      <c r="N127" s="7">
        <f t="shared" ref="N127:N171" si="33">L127/M127</f>
        <v>0.40144194399408339</v>
      </c>
      <c r="P127" s="1">
        <f t="shared" si="28"/>
        <v>3.6940632080081537E-3</v>
      </c>
      <c r="Q127" s="1">
        <f t="shared" si="29"/>
        <v>3.7434660043076588E-3</v>
      </c>
      <c r="R127" s="7">
        <f t="shared" si="30"/>
        <v>0.98680292642095413</v>
      </c>
      <c r="T127" s="1">
        <f t="shared" si="25"/>
        <v>3.1889149881763387E-3</v>
      </c>
      <c r="U127" s="1">
        <f t="shared" si="26"/>
        <v>3.2465448473867433E-3</v>
      </c>
      <c r="V127" s="7">
        <f t="shared" si="27"/>
        <v>0.98224886397094036</v>
      </c>
      <c r="X127" s="9"/>
    </row>
    <row r="128" spans="1:24">
      <c r="A128" s="151">
        <v>41061</v>
      </c>
      <c r="B128" s="10">
        <v>260</v>
      </c>
      <c r="C128" s="10">
        <v>269.75</v>
      </c>
      <c r="D128" s="10">
        <v>251.14999399999999</v>
      </c>
      <c r="E128" s="10">
        <v>257.54998799999998</v>
      </c>
      <c r="F128" s="10">
        <v>205.225403</v>
      </c>
      <c r="G128" s="6">
        <f t="shared" si="18"/>
        <v>1.3606963529361677E-3</v>
      </c>
      <c r="I128" s="10">
        <v>6682.4702150000003</v>
      </c>
      <c r="J128" s="6">
        <f t="shared" si="19"/>
        <v>6.4080829660455585E-2</v>
      </c>
      <c r="L128" s="1">
        <f t="shared" si="31"/>
        <v>1.9438041364729936E-3</v>
      </c>
      <c r="M128" s="1">
        <f t="shared" si="32"/>
        <v>4.7356681685625278E-3</v>
      </c>
      <c r="N128" s="7">
        <f t="shared" si="33"/>
        <v>0.41046037587194778</v>
      </c>
      <c r="P128" s="1">
        <f t="shared" si="28"/>
        <v>3.7847813748888032E-3</v>
      </c>
      <c r="Q128" s="1">
        <f t="shared" si="29"/>
        <v>3.7517765301483788E-3</v>
      </c>
      <c r="R128" s="7">
        <f t="shared" si="30"/>
        <v>1.0087971243690037</v>
      </c>
      <c r="T128" s="1">
        <f t="shared" si="25"/>
        <v>3.0584826864785463E-3</v>
      </c>
      <c r="U128" s="1">
        <f t="shared" si="26"/>
        <v>3.3928633517692191E-3</v>
      </c>
      <c r="V128" s="7">
        <f t="shared" si="27"/>
        <v>0.90144587900473239</v>
      </c>
      <c r="X128" s="9"/>
    </row>
    <row r="129" spans="1:24">
      <c r="A129" s="151">
        <v>41030</v>
      </c>
      <c r="B129" s="10">
        <v>261.04998799999998</v>
      </c>
      <c r="C129" s="10">
        <v>267.75</v>
      </c>
      <c r="D129" s="10">
        <v>245.10000600000001</v>
      </c>
      <c r="E129" s="10">
        <v>257.20001200000002</v>
      </c>
      <c r="F129" s="10">
        <v>204.94653299999999</v>
      </c>
      <c r="G129" s="6">
        <f t="shared" si="18"/>
        <v>-1.4747780635562419E-2</v>
      </c>
      <c r="I129" s="10">
        <v>6280.0400390000004</v>
      </c>
      <c r="J129" s="6">
        <f t="shared" si="19"/>
        <v>-6.2472063431787447E-2</v>
      </c>
      <c r="L129" s="1">
        <f t="shared" si="31"/>
        <v>2.1103721735138089E-3</v>
      </c>
      <c r="M129" s="1">
        <f t="shared" si="32"/>
        <v>4.3473926593169893E-3</v>
      </c>
      <c r="N129" s="7">
        <f t="shared" si="33"/>
        <v>0.4854339920253179</v>
      </c>
      <c r="P129" s="1">
        <f t="shared" si="28"/>
        <v>4.0940142253857005E-3</v>
      </c>
      <c r="Q129" s="1">
        <f t="shared" si="29"/>
        <v>3.6622536518244597E-3</v>
      </c>
      <c r="R129" s="7">
        <f t="shared" si="30"/>
        <v>1.1178947758973894</v>
      </c>
      <c r="T129" s="1">
        <f t="shared" si="25"/>
        <v>3.1207705675195849E-3</v>
      </c>
      <c r="U129" s="1">
        <f t="shared" si="26"/>
        <v>3.2992685621255702E-3</v>
      </c>
      <c r="V129" s="7">
        <f t="shared" si="27"/>
        <v>0.94589770694781294</v>
      </c>
      <c r="X129" s="9"/>
    </row>
    <row r="130" spans="1:24">
      <c r="A130" s="151">
        <v>41000</v>
      </c>
      <c r="B130" s="10">
        <v>289.95001200000002</v>
      </c>
      <c r="C130" s="10">
        <v>297</v>
      </c>
      <c r="D130" s="10">
        <v>260</v>
      </c>
      <c r="E130" s="10">
        <v>261.04998799999998</v>
      </c>
      <c r="F130" s="10">
        <v>208.01428200000001</v>
      </c>
      <c r="G130" s="6">
        <f t="shared" si="18"/>
        <v>-8.4356538299464795E-2</v>
      </c>
      <c r="H130" s="150">
        <f>AVERAGE(E130:E142)</f>
        <v>301.35000138461538</v>
      </c>
      <c r="I130" s="10">
        <v>6698.5097660000001</v>
      </c>
      <c r="J130" s="6">
        <f t="shared" si="19"/>
        <v>-9.0419324812017199E-3</v>
      </c>
      <c r="L130" s="1">
        <f t="shared" si="31"/>
        <v>2.1595757356244237E-3</v>
      </c>
      <c r="M130" s="1">
        <f t="shared" si="32"/>
        <v>4.1768278491932515E-3</v>
      </c>
      <c r="N130" s="7">
        <f t="shared" si="33"/>
        <v>0.51703728609297195</v>
      </c>
      <c r="P130" s="1">
        <f t="shared" si="28"/>
        <v>3.8718527890906477E-3</v>
      </c>
      <c r="Q130" s="1">
        <f t="shared" si="29"/>
        <v>3.5540192398141736E-3</v>
      </c>
      <c r="R130" s="7">
        <f t="shared" si="30"/>
        <v>1.0894293271448616</v>
      </c>
      <c r="T130" s="1">
        <f t="shared" si="25"/>
        <v>6.9012723551481314E-3</v>
      </c>
      <c r="U130" s="1">
        <f t="shared" si="26"/>
        <v>6.1194321245982468E-3</v>
      </c>
      <c r="V130" s="7">
        <f t="shared" si="27"/>
        <v>1.1277635268486965</v>
      </c>
      <c r="W130" s="7">
        <f>AVERAGE(V130:V142)</f>
        <v>1.1553390795103771</v>
      </c>
      <c r="X130" s="9"/>
    </row>
    <row r="131" spans="1:24">
      <c r="A131" s="151">
        <v>40969</v>
      </c>
      <c r="B131" s="10">
        <v>277</v>
      </c>
      <c r="C131" s="10">
        <v>313.89999399999999</v>
      </c>
      <c r="D131" s="10">
        <v>273.14999399999999</v>
      </c>
      <c r="E131" s="10">
        <v>285.10000600000001</v>
      </c>
      <c r="F131" s="10">
        <v>227.17825300000001</v>
      </c>
      <c r="G131" s="6">
        <f t="shared" ref="G131:G194" si="34">(F131-F132)/F132</f>
        <v>4.6075995928827773E-2</v>
      </c>
      <c r="I131" s="10">
        <v>6759.6298829999996</v>
      </c>
      <c r="J131" s="6">
        <f t="shared" ref="J131:J183" si="35">(I131-I132)/I132</f>
        <v>-1.4240326348299949E-2</v>
      </c>
      <c r="L131" s="1">
        <f t="shared" si="31"/>
        <v>2.2042817565247437E-3</v>
      </c>
      <c r="M131" s="1">
        <f t="shared" si="32"/>
        <v>4.1784498596120932E-3</v>
      </c>
      <c r="N131" s="7">
        <f t="shared" si="33"/>
        <v>0.52753576818781744</v>
      </c>
      <c r="P131" s="1">
        <f t="shared" si="28"/>
        <v>3.923320526617995E-3</v>
      </c>
      <c r="Q131" s="1">
        <f t="shared" si="29"/>
        <v>3.5638454713591032E-3</v>
      </c>
      <c r="R131" s="7">
        <f t="shared" si="30"/>
        <v>1.100867183537507</v>
      </c>
      <c r="T131" s="1">
        <f t="shared" si="25"/>
        <v>8.0877469170351924E-3</v>
      </c>
      <c r="U131" s="1">
        <f t="shared" si="26"/>
        <v>6.7957730500821977E-3</v>
      </c>
      <c r="V131" s="7">
        <f t="shared" si="27"/>
        <v>1.1901143339295841</v>
      </c>
      <c r="X131" s="9"/>
    </row>
    <row r="132" spans="1:24">
      <c r="A132" s="151">
        <v>40940</v>
      </c>
      <c r="B132" s="10">
        <v>265</v>
      </c>
      <c r="C132" s="10">
        <v>283</v>
      </c>
      <c r="D132" s="10">
        <v>255</v>
      </c>
      <c r="E132" s="10">
        <v>276.64999399999999</v>
      </c>
      <c r="F132" s="10">
        <v>217.17184399999999</v>
      </c>
      <c r="G132" s="6">
        <f t="shared" si="34"/>
        <v>4.0233148196045419E-2</v>
      </c>
      <c r="I132" s="10">
        <v>6857.2797849999997</v>
      </c>
      <c r="J132" s="6">
        <f t="shared" si="35"/>
        <v>4.7023231947430896E-2</v>
      </c>
      <c r="L132" s="1">
        <f t="shared" si="31"/>
        <v>3.0649630260501364E-3</v>
      </c>
      <c r="M132" s="1">
        <f t="shared" si="32"/>
        <v>4.8613435669346153E-3</v>
      </c>
      <c r="N132" s="7">
        <f t="shared" si="33"/>
        <v>0.63047653058242692</v>
      </c>
      <c r="P132" s="1">
        <f t="shared" si="28"/>
        <v>4.2472433028374014E-3</v>
      </c>
      <c r="Q132" s="1">
        <f t="shared" si="29"/>
        <v>3.7045318514264624E-3</v>
      </c>
      <c r="R132" s="7">
        <f t="shared" si="30"/>
        <v>1.1464993346465528</v>
      </c>
      <c r="T132" s="1">
        <f t="shared" si="25"/>
        <v>7.8847470395287181E-3</v>
      </c>
      <c r="U132" s="1">
        <f t="shared" si="26"/>
        <v>6.8865819904156654E-3</v>
      </c>
      <c r="V132" s="7">
        <f t="shared" si="27"/>
        <v>1.1449434640438811</v>
      </c>
      <c r="X132" s="9"/>
    </row>
    <row r="133" spans="1:24">
      <c r="A133" s="151">
        <v>40909</v>
      </c>
      <c r="B133" s="10">
        <v>275</v>
      </c>
      <c r="C133" s="10">
        <v>293.79998799999998</v>
      </c>
      <c r="D133" s="10">
        <v>257</v>
      </c>
      <c r="E133" s="10">
        <v>265.95001200000002</v>
      </c>
      <c r="F133" s="10">
        <v>208.772278</v>
      </c>
      <c r="G133" s="6">
        <f t="shared" si="34"/>
        <v>-3.7633312745109344E-2</v>
      </c>
      <c r="H133" s="150"/>
      <c r="I133" s="10">
        <v>6549.3100590000004</v>
      </c>
      <c r="J133" s="6">
        <f t="shared" si="35"/>
        <v>0.13335742064435036</v>
      </c>
      <c r="L133" s="1">
        <f t="shared" si="31"/>
        <v>2.6301747992318416E-3</v>
      </c>
      <c r="M133" s="1">
        <f t="shared" si="32"/>
        <v>4.778148591822109E-3</v>
      </c>
      <c r="N133" s="7">
        <f t="shared" si="33"/>
        <v>0.55045897980934189</v>
      </c>
      <c r="P133" s="1">
        <f t="shared" si="28"/>
        <v>4.2461617377134442E-3</v>
      </c>
      <c r="Q133" s="1">
        <f t="shared" si="29"/>
        <v>3.6201153913417591E-3</v>
      </c>
      <c r="R133" s="7">
        <f t="shared" si="30"/>
        <v>1.1729354671591414</v>
      </c>
      <c r="T133" s="1">
        <f t="shared" si="25"/>
        <v>8.1952002500504072E-3</v>
      </c>
      <c r="U133" s="1">
        <f t="shared" si="26"/>
        <v>7.0505591411278729E-3</v>
      </c>
      <c r="V133" s="7">
        <f t="shared" si="27"/>
        <v>1.1623475650669355</v>
      </c>
      <c r="W133" s="7"/>
      <c r="X133" s="9"/>
    </row>
    <row r="134" spans="1:24">
      <c r="A134" s="151">
        <v>40878</v>
      </c>
      <c r="B134" s="10">
        <v>288.95001200000002</v>
      </c>
      <c r="C134" s="10">
        <v>308.29998799999998</v>
      </c>
      <c r="D134" s="10">
        <v>253.10000600000001</v>
      </c>
      <c r="E134" s="10">
        <v>276.35000600000001</v>
      </c>
      <c r="F134" s="10">
        <v>216.93630999999999</v>
      </c>
      <c r="G134" s="6">
        <f t="shared" si="34"/>
        <v>-3.2727008183333801E-2</v>
      </c>
      <c r="I134" s="10">
        <v>5778.6801759999998</v>
      </c>
      <c r="J134" s="6">
        <f t="shared" si="35"/>
        <v>-5.5308128821317665E-2</v>
      </c>
      <c r="L134" s="1">
        <f t="shared" si="31"/>
        <v>5.2582381708742715E-3</v>
      </c>
      <c r="M134" s="1">
        <f t="shared" si="32"/>
        <v>3.5158483790078058E-3</v>
      </c>
      <c r="N134" s="7">
        <f t="shared" si="33"/>
        <v>1.4955816076341093</v>
      </c>
      <c r="P134" s="1">
        <f t="shared" si="28"/>
        <v>4.4202009012044227E-3</v>
      </c>
      <c r="Q134" s="1">
        <f t="shared" si="29"/>
        <v>2.9207900464096521E-3</v>
      </c>
      <c r="R134" s="7">
        <f t="shared" si="30"/>
        <v>1.5133579719767616</v>
      </c>
      <c r="T134" s="1">
        <f t="shared" si="25"/>
        <v>8.3161830196574159E-3</v>
      </c>
      <c r="U134" s="1">
        <f t="shared" si="26"/>
        <v>6.8003724297527046E-3</v>
      </c>
      <c r="V134" s="7">
        <f t="shared" si="27"/>
        <v>1.2229011139555828</v>
      </c>
      <c r="X134" s="9"/>
    </row>
    <row r="135" spans="1:24">
      <c r="A135" s="151">
        <v>40848</v>
      </c>
      <c r="B135" s="10">
        <v>331</v>
      </c>
      <c r="C135" s="10">
        <v>335.60000600000001</v>
      </c>
      <c r="D135" s="10">
        <v>284.04998799999998</v>
      </c>
      <c r="E135" s="10">
        <v>285.70001200000002</v>
      </c>
      <c r="F135" s="10">
        <v>224.27619899999999</v>
      </c>
      <c r="G135" s="6">
        <f t="shared" si="34"/>
        <v>-0.13997587021600255</v>
      </c>
      <c r="I135" s="10">
        <v>6117</v>
      </c>
      <c r="J135" s="6">
        <f t="shared" si="35"/>
        <v>-9.5554479401908005E-2</v>
      </c>
      <c r="L135" s="1">
        <f t="shared" si="31"/>
        <v>5.8404417580672314E-3</v>
      </c>
      <c r="M135" s="1">
        <f t="shared" si="32"/>
        <v>3.6560924164381866E-3</v>
      </c>
      <c r="N135" s="7">
        <f t="shared" si="33"/>
        <v>1.5974546299234598</v>
      </c>
      <c r="P135" s="1">
        <f t="shared" si="28"/>
        <v>4.2937658793485529E-3</v>
      </c>
      <c r="Q135" s="1">
        <f t="shared" si="29"/>
        <v>2.8840030442488411E-3</v>
      </c>
      <c r="R135" s="7">
        <f t="shared" si="30"/>
        <v>1.48882154889226</v>
      </c>
      <c r="T135" s="1">
        <f t="shared" si="25"/>
        <v>7.986617402363682E-3</v>
      </c>
      <c r="U135" s="1">
        <f t="shared" si="26"/>
        <v>6.7980614832701272E-3</v>
      </c>
      <c r="V135" s="7">
        <f t="shared" si="27"/>
        <v>1.1748374771276435</v>
      </c>
      <c r="X135" s="9"/>
    </row>
    <row r="136" spans="1:24">
      <c r="A136" s="151">
        <v>40817</v>
      </c>
      <c r="B136" s="10">
        <v>298.20001200000002</v>
      </c>
      <c r="C136" s="10">
        <v>342</v>
      </c>
      <c r="D136" s="10">
        <v>289</v>
      </c>
      <c r="E136" s="10">
        <v>332.20001200000002</v>
      </c>
      <c r="F136" s="10">
        <v>260.77896099999998</v>
      </c>
      <c r="G136" s="6">
        <f t="shared" si="34"/>
        <v>9.1865466448372443E-2</v>
      </c>
      <c r="I136" s="10">
        <v>6763.2597660000001</v>
      </c>
      <c r="J136" s="6">
        <f t="shared" si="35"/>
        <v>5.911591006131188E-2</v>
      </c>
      <c r="L136" s="1">
        <f t="shared" si="31"/>
        <v>5.1471346956551119E-3</v>
      </c>
      <c r="M136" s="1">
        <f t="shared" si="32"/>
        <v>3.1211169806174195E-3</v>
      </c>
      <c r="N136" s="7">
        <f t="shared" si="33"/>
        <v>1.6491322586175241</v>
      </c>
      <c r="P136" s="1">
        <f t="shared" si="28"/>
        <v>3.4713195138730193E-3</v>
      </c>
      <c r="Q136" s="1">
        <f t="shared" si="29"/>
        <v>2.686170311136648E-3</v>
      </c>
      <c r="R136" s="7">
        <f t="shared" si="30"/>
        <v>1.2922931578393244</v>
      </c>
      <c r="T136" s="1">
        <f t="shared" si="25"/>
        <v>8.067968082098172E-3</v>
      </c>
      <c r="U136" s="1">
        <f t="shared" si="26"/>
        <v>6.6840549213982156E-3</v>
      </c>
      <c r="V136" s="7">
        <f t="shared" si="27"/>
        <v>1.2070469463483193</v>
      </c>
      <c r="X136" s="9"/>
    </row>
    <row r="137" spans="1:24">
      <c r="A137" s="151">
        <v>40787</v>
      </c>
      <c r="B137" s="10">
        <v>308.39999399999999</v>
      </c>
      <c r="C137" s="10">
        <v>326</v>
      </c>
      <c r="D137" s="10">
        <v>280</v>
      </c>
      <c r="E137" s="10">
        <v>304.25</v>
      </c>
      <c r="F137" s="10">
        <v>238.837997</v>
      </c>
      <c r="G137" s="6">
        <f t="shared" si="34"/>
        <v>-1.3456770681609191E-2</v>
      </c>
      <c r="I137" s="10">
        <v>6385.7597660000001</v>
      </c>
      <c r="J137" s="6">
        <f t="shared" si="35"/>
        <v>-1.5640050073435059E-2</v>
      </c>
      <c r="L137" s="1">
        <f t="shared" si="31"/>
        <v>4.7217153619715001E-3</v>
      </c>
      <c r="M137" s="1">
        <f t="shared" si="32"/>
        <v>2.663855964467996E-3</v>
      </c>
      <c r="N137" s="7">
        <f t="shared" si="33"/>
        <v>1.7725115114902554</v>
      </c>
      <c r="P137" s="1">
        <f t="shared" si="28"/>
        <v>3.4889736097108008E-3</v>
      </c>
      <c r="Q137" s="1">
        <f t="shared" si="29"/>
        <v>2.7340976848126185E-3</v>
      </c>
      <c r="R137" s="7">
        <f t="shared" si="30"/>
        <v>1.2760969109082574</v>
      </c>
      <c r="T137" s="1">
        <f t="shared" si="25"/>
        <v>1.00505900247728E-2</v>
      </c>
      <c r="U137" s="1">
        <f t="shared" si="26"/>
        <v>8.9908624038655682E-3</v>
      </c>
      <c r="V137" s="7">
        <f t="shared" si="27"/>
        <v>1.1178671826243951</v>
      </c>
      <c r="X137" s="9"/>
    </row>
    <row r="138" spans="1:24">
      <c r="A138" s="151">
        <v>40756</v>
      </c>
      <c r="B138" s="10">
        <v>330</v>
      </c>
      <c r="C138" s="10">
        <v>333</v>
      </c>
      <c r="D138" s="10">
        <v>297</v>
      </c>
      <c r="E138" s="10">
        <v>308.39999399999999</v>
      </c>
      <c r="F138" s="10">
        <v>242.09582499999999</v>
      </c>
      <c r="G138" s="6">
        <f t="shared" si="34"/>
        <v>-4.9862766773632723E-2</v>
      </c>
      <c r="I138" s="10">
        <v>6487.2202150000003</v>
      </c>
      <c r="J138" s="6">
        <f t="shared" si="35"/>
        <v>-8.7760179041857192E-2</v>
      </c>
      <c r="L138" s="1">
        <f t="shared" si="31"/>
        <v>5.980338308502915E-3</v>
      </c>
      <c r="M138" s="1">
        <f t="shared" si="32"/>
        <v>3.7210948521308111E-3</v>
      </c>
      <c r="N138" s="7">
        <f t="shared" si="33"/>
        <v>1.6071448178963761</v>
      </c>
      <c r="P138" s="1">
        <f t="shared" si="28"/>
        <v>3.9830336018687107E-3</v>
      </c>
      <c r="Q138" s="1">
        <f t="shared" si="29"/>
        <v>3.0106258520034503E-3</v>
      </c>
      <c r="R138" s="7">
        <f t="shared" si="30"/>
        <v>1.3229918952626285</v>
      </c>
      <c r="T138" s="1">
        <f t="shared" si="25"/>
        <v>1.0931302019193513E-2</v>
      </c>
      <c r="U138" s="1">
        <f t="shared" si="26"/>
        <v>9.5354504001345496E-3</v>
      </c>
      <c r="V138" s="7">
        <f t="shared" si="27"/>
        <v>1.1463854941806699</v>
      </c>
      <c r="X138" s="9"/>
    </row>
    <row r="139" spans="1:24">
      <c r="A139" s="151">
        <v>40725</v>
      </c>
      <c r="B139" s="10">
        <v>354.5</v>
      </c>
      <c r="C139" s="10">
        <v>357.89999399999999</v>
      </c>
      <c r="D139" s="10">
        <v>314.29998799999998</v>
      </c>
      <c r="E139" s="10">
        <v>327.45001200000002</v>
      </c>
      <c r="F139" s="10">
        <v>254.80090300000001</v>
      </c>
      <c r="G139" s="6">
        <f t="shared" si="34"/>
        <v>-6.4829431254985262E-2</v>
      </c>
      <c r="I139" s="10">
        <v>7111.3100590000004</v>
      </c>
      <c r="J139" s="6">
        <f t="shared" si="35"/>
        <v>-2.1197933295551474E-2</v>
      </c>
      <c r="L139" s="1">
        <f t="shared" si="31"/>
        <v>5.3948668298711248E-3</v>
      </c>
      <c r="M139" s="1">
        <f t="shared" si="32"/>
        <v>3.1024719765483919E-3</v>
      </c>
      <c r="N139" s="7">
        <f t="shared" si="33"/>
        <v>1.7388930087526857</v>
      </c>
      <c r="P139" s="1">
        <f t="shared" si="28"/>
        <v>3.4807125268225239E-3</v>
      </c>
      <c r="Q139" s="1">
        <f t="shared" si="29"/>
        <v>2.6288147754785292E-3</v>
      </c>
      <c r="R139" s="7">
        <f t="shared" si="30"/>
        <v>1.3240615349892508</v>
      </c>
      <c r="T139" s="1">
        <f t="shared" si="25"/>
        <v>1.0683677544733679E-2</v>
      </c>
      <c r="U139" s="1">
        <f t="shared" si="26"/>
        <v>9.3139933324995171E-3</v>
      </c>
      <c r="V139" s="7">
        <f t="shared" si="27"/>
        <v>1.147056602183179</v>
      </c>
      <c r="X139" s="9"/>
    </row>
    <row r="140" spans="1:24">
      <c r="A140" s="151">
        <v>40695</v>
      </c>
      <c r="B140" s="10">
        <v>322</v>
      </c>
      <c r="C140" s="10">
        <v>356.5</v>
      </c>
      <c r="D140" s="10">
        <v>307.10000600000001</v>
      </c>
      <c r="E140" s="10">
        <v>350.14999399999999</v>
      </c>
      <c r="F140" s="10">
        <v>272.46463</v>
      </c>
      <c r="G140" s="6">
        <f t="shared" si="34"/>
        <v>0.10544602528555062</v>
      </c>
      <c r="I140" s="10">
        <v>7265.3198240000002</v>
      </c>
      <c r="J140" s="6">
        <f t="shared" si="35"/>
        <v>2.0361384874370621E-2</v>
      </c>
      <c r="L140" s="1">
        <f t="shared" si="31"/>
        <v>5.3474003383791871E-3</v>
      </c>
      <c r="M140" s="1">
        <f t="shared" si="32"/>
        <v>3.0720404092351955E-3</v>
      </c>
      <c r="N140" s="7">
        <f t="shared" si="33"/>
        <v>1.7406673174948428</v>
      </c>
      <c r="P140" s="1">
        <f t="shared" si="28"/>
        <v>3.0935063621600908E-3</v>
      </c>
      <c r="Q140" s="1">
        <f t="shared" si="29"/>
        <v>2.7882415168215195E-3</v>
      </c>
      <c r="R140" s="7">
        <f t="shared" si="30"/>
        <v>1.1094829280379415</v>
      </c>
      <c r="T140" s="1">
        <f t="shared" si="25"/>
        <v>1.0693712604208639E-2</v>
      </c>
      <c r="U140" s="1">
        <f t="shared" si="26"/>
        <v>9.283999818218952E-3</v>
      </c>
      <c r="V140" s="7">
        <f t="shared" si="27"/>
        <v>1.1518432586807317</v>
      </c>
      <c r="X140" s="9"/>
    </row>
    <row r="141" spans="1:24">
      <c r="A141" s="151">
        <v>40664</v>
      </c>
      <c r="B141" s="10">
        <v>330.64999399999999</v>
      </c>
      <c r="C141" s="10">
        <v>376</v>
      </c>
      <c r="D141" s="10">
        <v>301</v>
      </c>
      <c r="E141" s="10">
        <v>316.75</v>
      </c>
      <c r="F141" s="10">
        <v>246.47483800000001</v>
      </c>
      <c r="G141" s="6">
        <f t="shared" si="34"/>
        <v>-3.297191863562602E-2</v>
      </c>
      <c r="I141" s="10">
        <v>7120.3398440000001</v>
      </c>
      <c r="J141" s="6">
        <f t="shared" si="35"/>
        <v>-4.1307998414033459E-2</v>
      </c>
      <c r="L141" s="1">
        <f t="shared" si="31"/>
        <v>5.6366707363410193E-3</v>
      </c>
      <c r="M141" s="1">
        <f t="shared" si="32"/>
        <v>3.2034436426281458E-3</v>
      </c>
      <c r="N141" s="7">
        <f t="shared" si="33"/>
        <v>1.7595660686312631</v>
      </c>
      <c r="P141" s="1">
        <f t="shared" si="28"/>
        <v>3.1081703812111997E-3</v>
      </c>
      <c r="Q141" s="1">
        <f t="shared" si="29"/>
        <v>2.7960458683128232E-3</v>
      </c>
      <c r="R141" s="7">
        <f t="shared" si="30"/>
        <v>1.1116306840440773</v>
      </c>
      <c r="T141" s="1">
        <f t="shared" si="25"/>
        <v>1.1658007672540787E-2</v>
      </c>
      <c r="U141" s="1">
        <f t="shared" si="26"/>
        <v>1.0485371097218657E-2</v>
      </c>
      <c r="V141" s="7">
        <f t="shared" si="27"/>
        <v>1.1118354862645903</v>
      </c>
      <c r="W141" s="7"/>
    </row>
    <row r="142" spans="1:24">
      <c r="A142" s="151">
        <v>40634</v>
      </c>
      <c r="B142" s="10">
        <v>287</v>
      </c>
      <c r="C142" s="10">
        <v>359.5</v>
      </c>
      <c r="D142" s="10">
        <v>285.29998799999998</v>
      </c>
      <c r="E142" s="10">
        <v>327.54998799999998</v>
      </c>
      <c r="F142" s="10">
        <v>254.87867700000001</v>
      </c>
      <c r="G142" s="6">
        <f t="shared" si="34"/>
        <v>0.14507940208592343</v>
      </c>
      <c r="I142" s="10">
        <v>7427.1401370000003</v>
      </c>
      <c r="J142" s="6">
        <f t="shared" si="35"/>
        <v>-1.3606663365803705E-3</v>
      </c>
      <c r="L142" s="1">
        <f t="shared" si="31"/>
        <v>5.1040670295864976E-3</v>
      </c>
      <c r="M142" s="1">
        <f t="shared" si="32"/>
        <v>3.1680026672708307E-3</v>
      </c>
      <c r="N142" s="7">
        <f t="shared" si="33"/>
        <v>1.6111309129621241</v>
      </c>
      <c r="P142" s="1">
        <f t="shared" si="28"/>
        <v>8.1420349173716173E-3</v>
      </c>
      <c r="Q142" s="1">
        <f t="shared" si="29"/>
        <v>6.9056290441095961E-3</v>
      </c>
      <c r="R142" s="7">
        <f t="shared" si="30"/>
        <v>1.179043192932099</v>
      </c>
      <c r="T142" s="1">
        <f t="shared" si="25"/>
        <v>1.1752928184654168E-2</v>
      </c>
      <c r="U142" s="1">
        <f t="shared" si="26"/>
        <v>1.0545797349387763E-2</v>
      </c>
      <c r="V142" s="7">
        <f t="shared" si="27"/>
        <v>1.1144655823806899</v>
      </c>
      <c r="W142" s="7">
        <f>AVERAGE(V142:V154)</f>
        <v>1.0748997254129324</v>
      </c>
    </row>
    <row r="143" spans="1:24">
      <c r="A143" s="151">
        <v>40603</v>
      </c>
      <c r="B143" s="10">
        <v>256</v>
      </c>
      <c r="C143" s="10">
        <v>302.29998799999998</v>
      </c>
      <c r="D143" s="10">
        <v>254</v>
      </c>
      <c r="E143" s="10">
        <v>286.04998799999998</v>
      </c>
      <c r="F143" s="10">
        <v>222.586029</v>
      </c>
      <c r="G143" s="6">
        <f t="shared" si="34"/>
        <v>0.1204466050274967</v>
      </c>
      <c r="I143" s="10">
        <v>7437.2597660000001</v>
      </c>
      <c r="J143" s="6">
        <f t="shared" si="35"/>
        <v>8.5667971563041748E-2</v>
      </c>
      <c r="L143" s="1">
        <f t="shared" si="31"/>
        <v>5.2478668238009575E-3</v>
      </c>
      <c r="M143" s="1">
        <f t="shared" si="32"/>
        <v>3.1733072900635788E-3</v>
      </c>
      <c r="N143" s="7">
        <f t="shared" si="33"/>
        <v>1.6537531175229532</v>
      </c>
      <c r="P143" s="1">
        <f t="shared" si="28"/>
        <v>9.8193215762755071E-3</v>
      </c>
      <c r="Q143" s="1">
        <f t="shared" si="29"/>
        <v>7.7583129185246971E-3</v>
      </c>
      <c r="R143" s="7">
        <f t="shared" si="30"/>
        <v>1.2656516538318137</v>
      </c>
      <c r="T143" s="1">
        <f t="shared" si="25"/>
        <v>1.2111995308432088E-2</v>
      </c>
      <c r="U143" s="1">
        <f t="shared" si="26"/>
        <v>1.0883974997769797E-2</v>
      </c>
      <c r="V143" s="7">
        <f t="shared" si="27"/>
        <v>1.1128282921371944</v>
      </c>
    </row>
    <row r="144" spans="1:24">
      <c r="A144" s="151">
        <v>40575</v>
      </c>
      <c r="B144" s="10">
        <v>232</v>
      </c>
      <c r="C144" s="10">
        <v>311.95001200000002</v>
      </c>
      <c r="D144" s="10">
        <v>217.5</v>
      </c>
      <c r="E144" s="10">
        <v>255.300003</v>
      </c>
      <c r="F144" s="10">
        <v>198.65831</v>
      </c>
      <c r="G144" s="6">
        <f t="shared" si="34"/>
        <v>0.11942471696263789</v>
      </c>
      <c r="I144" s="10">
        <v>6850.3999020000001</v>
      </c>
      <c r="J144" s="6">
        <f t="shared" si="35"/>
        <v>-3.898412318797629E-2</v>
      </c>
      <c r="L144" s="1">
        <f t="shared" si="31"/>
        <v>5.3402779096459263E-3</v>
      </c>
      <c r="M144" s="1">
        <f t="shared" si="32"/>
        <v>2.8789150427134579E-3</v>
      </c>
      <c r="N144" s="7">
        <f t="shared" si="33"/>
        <v>1.854961966718047</v>
      </c>
      <c r="P144" s="1">
        <f t="shared" si="28"/>
        <v>9.4642784329575409E-3</v>
      </c>
      <c r="Q144" s="1">
        <f t="shared" si="29"/>
        <v>7.7789809273956225E-3</v>
      </c>
      <c r="R144" s="7">
        <f t="shared" si="30"/>
        <v>1.2166475944974646</v>
      </c>
      <c r="T144" s="1">
        <f t="shared" si="25"/>
        <v>1.2558904515621415E-2</v>
      </c>
      <c r="U144" s="1">
        <f t="shared" si="26"/>
        <v>1.1260137770905926E-2</v>
      </c>
      <c r="V144" s="7">
        <f t="shared" si="27"/>
        <v>1.1153419941336116</v>
      </c>
    </row>
    <row r="145" spans="1:22">
      <c r="A145" s="151">
        <v>40544</v>
      </c>
      <c r="B145" s="10">
        <v>316.64999399999999</v>
      </c>
      <c r="C145" s="10">
        <v>324.95001200000002</v>
      </c>
      <c r="D145" s="10">
        <v>224.25</v>
      </c>
      <c r="E145" s="10">
        <v>231.800003</v>
      </c>
      <c r="F145" s="10">
        <v>177.46464499999999</v>
      </c>
      <c r="G145" s="6">
        <f t="shared" si="34"/>
        <v>-0.26796123394778582</v>
      </c>
      <c r="I145" s="10">
        <v>7128.2900390000004</v>
      </c>
      <c r="J145" s="6">
        <f t="shared" si="35"/>
        <v>-0.10460541860358799</v>
      </c>
      <c r="L145" s="1">
        <f t="shared" si="31"/>
        <v>5.6006826498233922E-3</v>
      </c>
      <c r="M145" s="1">
        <f t="shared" si="32"/>
        <v>2.6884609283705802E-3</v>
      </c>
      <c r="N145" s="7">
        <f t="shared" si="33"/>
        <v>2.0832300706775935</v>
      </c>
      <c r="P145" s="1">
        <f t="shared" si="28"/>
        <v>1.017728310589692E-2</v>
      </c>
      <c r="Q145" s="1">
        <f t="shared" si="29"/>
        <v>7.9070697783423221E-3</v>
      </c>
      <c r="R145" s="7">
        <f t="shared" si="30"/>
        <v>1.2871118367733105</v>
      </c>
      <c r="T145" s="1">
        <f t="shared" si="25"/>
        <v>1.2636466049477491E-2</v>
      </c>
      <c r="U145" s="1">
        <f t="shared" si="26"/>
        <v>1.1211494254188176E-2</v>
      </c>
      <c r="V145" s="7">
        <f t="shared" si="27"/>
        <v>1.1270991861550481</v>
      </c>
    </row>
    <row r="146" spans="1:22">
      <c r="A146" s="151">
        <v>40513</v>
      </c>
      <c r="B146" s="10">
        <v>273.5</v>
      </c>
      <c r="C146" s="10">
        <v>322.45001200000002</v>
      </c>
      <c r="D146" s="10">
        <v>265</v>
      </c>
      <c r="E146" s="10">
        <v>316.64999399999999</v>
      </c>
      <c r="F146" s="10">
        <v>242.42520099999999</v>
      </c>
      <c r="G146" s="6">
        <f t="shared" si="34"/>
        <v>0.16672775308177332</v>
      </c>
      <c r="I146" s="10">
        <v>7961.0600590000004</v>
      </c>
      <c r="J146" s="6">
        <f t="shared" si="35"/>
        <v>3.0951659214272668E-2</v>
      </c>
      <c r="L146" s="1">
        <f t="shared" si="31"/>
        <v>1.7743868533377902E-3</v>
      </c>
      <c r="M146" s="1">
        <f t="shared" si="32"/>
        <v>1.7943611574828683E-3</v>
      </c>
      <c r="N146" s="7">
        <f t="shared" si="33"/>
        <v>0.98886829217084804</v>
      </c>
      <c r="P146" s="1">
        <f t="shared" si="28"/>
        <v>7.8274142210258569E-3</v>
      </c>
      <c r="Q146" s="1">
        <f t="shared" si="29"/>
        <v>7.3511306576719056E-3</v>
      </c>
      <c r="R146" s="7">
        <f t="shared" si="30"/>
        <v>1.0647905180214536</v>
      </c>
      <c r="T146" s="1">
        <f t="shared" si="25"/>
        <v>1.2135674138644427E-2</v>
      </c>
      <c r="U146" s="1">
        <f t="shared" si="26"/>
        <v>1.1708806617708335E-2</v>
      </c>
      <c r="V146" s="7">
        <f t="shared" si="27"/>
        <v>1.0364569622569819</v>
      </c>
    </row>
    <row r="147" spans="1:22">
      <c r="A147" s="151">
        <v>40483</v>
      </c>
      <c r="B147" s="10">
        <v>325.04998799999998</v>
      </c>
      <c r="C147" s="10">
        <v>373.02499399999999</v>
      </c>
      <c r="D147" s="10">
        <v>240</v>
      </c>
      <c r="E147" s="10">
        <v>271.39999399999999</v>
      </c>
      <c r="F147" s="10">
        <v>207.78215</v>
      </c>
      <c r="G147" s="6">
        <f t="shared" si="34"/>
        <v>-0.15583203379682364</v>
      </c>
      <c r="I147" s="10">
        <v>7722.0498049999997</v>
      </c>
      <c r="J147" s="6">
        <f t="shared" si="35"/>
        <v>-3.9173171999987697E-2</v>
      </c>
      <c r="L147" s="1">
        <f t="shared" si="31"/>
        <v>1.6328247434194813E-3</v>
      </c>
      <c r="M147" s="1">
        <f t="shared" si="32"/>
        <v>1.8255974435763226E-3</v>
      </c>
      <c r="N147" s="7">
        <f t="shared" si="33"/>
        <v>0.89440569122445635</v>
      </c>
      <c r="P147" s="1">
        <f t="shared" si="28"/>
        <v>7.6416481015015034E-3</v>
      </c>
      <c r="Q147" s="1">
        <f t="shared" si="29"/>
        <v>7.4727348415146565E-3</v>
      </c>
      <c r="R147" s="7">
        <f t="shared" si="30"/>
        <v>1.0226039413373069</v>
      </c>
      <c r="T147" s="1">
        <f t="shared" si="25"/>
        <v>1.2123435497802298E-2</v>
      </c>
      <c r="U147" s="1">
        <f t="shared" si="26"/>
        <v>1.1909403290622083E-2</v>
      </c>
      <c r="V147" s="7">
        <f t="shared" si="27"/>
        <v>1.0179716986617418</v>
      </c>
    </row>
    <row r="148" spans="1:22">
      <c r="A148" s="151">
        <v>40452</v>
      </c>
      <c r="B148" s="10">
        <v>307.5</v>
      </c>
      <c r="C148" s="10">
        <v>362</v>
      </c>
      <c r="D148" s="10">
        <v>306.77499399999999</v>
      </c>
      <c r="E148" s="10">
        <v>321.5</v>
      </c>
      <c r="F148" s="10">
        <v>246.138397</v>
      </c>
      <c r="G148" s="6">
        <f t="shared" si="34"/>
        <v>4.9967172848782909E-2</v>
      </c>
      <c r="I148" s="10">
        <v>8036.8798829999996</v>
      </c>
      <c r="J148" s="6">
        <f t="shared" si="35"/>
        <v>6.566474424604919E-3</v>
      </c>
      <c r="L148" s="1">
        <f t="shared" si="31"/>
        <v>1.9808379194526167E-4</v>
      </c>
      <c r="M148" s="1">
        <f t="shared" si="32"/>
        <v>1.7774381267771657E-3</v>
      </c>
      <c r="N148" s="7">
        <f t="shared" si="33"/>
        <v>0.1114434246464744</v>
      </c>
      <c r="P148" s="1">
        <f t="shared" si="28"/>
        <v>8.2818684504827739E-3</v>
      </c>
      <c r="Q148" s="1">
        <f t="shared" si="29"/>
        <v>7.7893179348502211E-3</v>
      </c>
      <c r="R148" s="7">
        <f t="shared" si="30"/>
        <v>1.0632341008227217</v>
      </c>
      <c r="T148" s="1">
        <f t="shared" ref="T148" si="36">COVAR(G148:G183,J148:J183)</f>
        <v>1.1853177370242111E-2</v>
      </c>
      <c r="U148" s="1">
        <f t="shared" ref="U148" si="37">VAR(J148:J183)</f>
        <v>1.1851584965624376E-2</v>
      </c>
      <c r="V148" s="7">
        <f t="shared" ref="V148" si="38">T148/U148</f>
        <v>1.0001343621652592</v>
      </c>
    </row>
    <row r="149" spans="1:22">
      <c r="A149" s="151">
        <v>40422</v>
      </c>
      <c r="B149" s="10">
        <v>268.22500600000001</v>
      </c>
      <c r="C149" s="10">
        <v>337.89999399999999</v>
      </c>
      <c r="D149" s="10">
        <v>264</v>
      </c>
      <c r="E149" s="10">
        <v>306.20001200000002</v>
      </c>
      <c r="F149" s="10">
        <v>234.42484999999999</v>
      </c>
      <c r="G149" s="6">
        <f t="shared" si="34"/>
        <v>0.15820339798838814</v>
      </c>
      <c r="I149" s="10">
        <v>7984.4501950000003</v>
      </c>
      <c r="J149" s="6">
        <f t="shared" si="35"/>
        <v>9.5299686778935022E-2</v>
      </c>
      <c r="L149" s="1">
        <f t="shared" si="31"/>
        <v>7.0400706585744882E-4</v>
      </c>
      <c r="M149" s="1">
        <f t="shared" si="32"/>
        <v>2.3887292963873097E-3</v>
      </c>
      <c r="N149" s="7">
        <f t="shared" si="33"/>
        <v>0.29472032135335807</v>
      </c>
      <c r="P149" s="1">
        <f t="shared" si="28"/>
        <v>1.1742383030404277E-2</v>
      </c>
      <c r="Q149" s="1">
        <f t="shared" si="29"/>
        <v>1.1753257535822936E-2</v>
      </c>
      <c r="R149" s="7">
        <f t="shared" si="30"/>
        <v>0.99907476668612816</v>
      </c>
    </row>
    <row r="150" spans="1:22">
      <c r="A150" s="151">
        <v>40391</v>
      </c>
      <c r="B150" s="10">
        <v>275</v>
      </c>
      <c r="C150" s="10">
        <v>299.45001200000002</v>
      </c>
      <c r="D150" s="10">
        <v>247.5</v>
      </c>
      <c r="E150" s="10">
        <v>264.375</v>
      </c>
      <c r="F150" s="10">
        <v>202.40387000000001</v>
      </c>
      <c r="G150" s="6">
        <f t="shared" si="34"/>
        <v>-1.7288573703496533E-2</v>
      </c>
      <c r="I150" s="10">
        <v>7289.7402339999999</v>
      </c>
      <c r="J150" s="6">
        <f t="shared" si="35"/>
        <v>1.173038664717614E-2</v>
      </c>
      <c r="L150" s="1">
        <f t="shared" si="31"/>
        <v>9.9888030808161833E-4</v>
      </c>
      <c r="M150" s="1">
        <f t="shared" si="32"/>
        <v>2.2407119718591156E-3</v>
      </c>
      <c r="N150" s="7">
        <f t="shared" si="33"/>
        <v>0.44578701797752646</v>
      </c>
      <c r="P150" s="1">
        <f t="shared" si="28"/>
        <v>1.3088131846259341E-2</v>
      </c>
      <c r="Q150" s="1">
        <f t="shared" si="29"/>
        <v>1.251806677025624E-2</v>
      </c>
      <c r="R150" s="7">
        <f t="shared" si="30"/>
        <v>1.0455393861101312</v>
      </c>
    </row>
    <row r="151" spans="1:22">
      <c r="A151" s="151">
        <v>40360</v>
      </c>
      <c r="B151" s="10">
        <v>230.5</v>
      </c>
      <c r="C151" s="10">
        <v>274.95001200000002</v>
      </c>
      <c r="D151" s="10">
        <v>227.5</v>
      </c>
      <c r="E151" s="10">
        <v>271.27499399999999</v>
      </c>
      <c r="F151" s="10">
        <v>205.96470600000001</v>
      </c>
      <c r="G151" s="6">
        <f t="shared" si="34"/>
        <v>0.16277322394075502</v>
      </c>
      <c r="I151" s="10">
        <v>7205.2202150000003</v>
      </c>
      <c r="J151" s="6">
        <f t="shared" si="35"/>
        <v>1.5935819194680803E-2</v>
      </c>
      <c r="L151" s="1">
        <f t="shared" si="31"/>
        <v>9.3902651251226963E-4</v>
      </c>
      <c r="M151" s="1">
        <f t="shared" si="32"/>
        <v>2.238221106273293E-3</v>
      </c>
      <c r="N151" s="7">
        <f t="shared" si="33"/>
        <v>0.41954144292552831</v>
      </c>
      <c r="P151" s="1">
        <f t="shared" si="28"/>
        <v>1.3086090044608241E-2</v>
      </c>
      <c r="Q151" s="1">
        <f t="shared" si="29"/>
        <v>1.2574374095337799E-2</v>
      </c>
      <c r="R151" s="7">
        <f t="shared" si="30"/>
        <v>1.0406951427872795</v>
      </c>
    </row>
    <row r="152" spans="1:22">
      <c r="A152" s="151">
        <v>40330</v>
      </c>
      <c r="B152" s="10">
        <v>200.02499399999999</v>
      </c>
      <c r="C152" s="10">
        <v>242</v>
      </c>
      <c r="D152" s="10">
        <v>200.02499399999999</v>
      </c>
      <c r="E152" s="10">
        <v>233.300003</v>
      </c>
      <c r="F152" s="10">
        <v>177.13230899999999</v>
      </c>
      <c r="G152" s="6">
        <f t="shared" si="34"/>
        <v>0.15452186289024147</v>
      </c>
      <c r="I152" s="10">
        <v>7092.2001950000003</v>
      </c>
      <c r="J152" s="6">
        <f t="shared" si="35"/>
        <v>4.568168245838005E-2</v>
      </c>
      <c r="L152" s="1">
        <f t="shared" si="31"/>
        <v>4.4860452888487862E-4</v>
      </c>
      <c r="M152" s="1">
        <f t="shared" si="32"/>
        <v>2.5588966087326352E-3</v>
      </c>
      <c r="N152" s="7">
        <f t="shared" si="33"/>
        <v>0.17531170558198617</v>
      </c>
      <c r="P152" s="1">
        <f t="shared" si="28"/>
        <v>1.3191396968254748E-2</v>
      </c>
      <c r="Q152" s="1">
        <f t="shared" si="29"/>
        <v>1.2575421104833538E-2</v>
      </c>
      <c r="R152" s="7">
        <f t="shared" si="30"/>
        <v>1.0489825237887622</v>
      </c>
    </row>
    <row r="153" spans="1:22">
      <c r="A153" s="151">
        <v>40299</v>
      </c>
      <c r="B153" s="10">
        <v>184.5</v>
      </c>
      <c r="C153" s="10">
        <v>209.97500600000001</v>
      </c>
      <c r="D153" s="10">
        <v>150</v>
      </c>
      <c r="E153" s="10">
        <v>202.074997</v>
      </c>
      <c r="F153" s="10">
        <v>153.42482000000001</v>
      </c>
      <c r="G153" s="6">
        <f t="shared" si="34"/>
        <v>0.10771552474605456</v>
      </c>
      <c r="I153" s="10">
        <v>6782.3701170000004</v>
      </c>
      <c r="J153" s="6">
        <f t="shared" si="35"/>
        <v>-3.6961789048306125E-2</v>
      </c>
      <c r="L153" s="1">
        <f t="shared" si="31"/>
        <v>4.1298974355089213E-4</v>
      </c>
      <c r="M153" s="1">
        <f t="shared" si="32"/>
        <v>2.5516374610626419E-3</v>
      </c>
      <c r="N153" s="7">
        <f t="shared" si="33"/>
        <v>0.16185282974286658</v>
      </c>
      <c r="P153" s="1">
        <f t="shared" si="28"/>
        <v>1.4647341240021339E-2</v>
      </c>
      <c r="Q153" s="1">
        <f t="shared" si="29"/>
        <v>1.4420027975521424E-2</v>
      </c>
      <c r="R153" s="7">
        <f t="shared" si="30"/>
        <v>1.0157637186894359</v>
      </c>
    </row>
    <row r="154" spans="1:22">
      <c r="A154" s="151">
        <v>40269</v>
      </c>
      <c r="B154" s="10">
        <v>157.10000600000001</v>
      </c>
      <c r="C154" s="10">
        <v>188.699997</v>
      </c>
      <c r="D154" s="10">
        <v>137.5</v>
      </c>
      <c r="E154" s="10">
        <v>182.425003</v>
      </c>
      <c r="F154" s="10">
        <v>138.50561500000001</v>
      </c>
      <c r="G154" s="6">
        <f t="shared" si="34"/>
        <v>0.15807010198931501</v>
      </c>
      <c r="I154" s="10">
        <v>7042.6801759999998</v>
      </c>
      <c r="J154" s="6">
        <f t="shared" si="35"/>
        <v>1.7794563876254981E-2</v>
      </c>
      <c r="L154" s="1">
        <f t="shared" si="31"/>
        <v>1.0201150744359731E-2</v>
      </c>
      <c r="M154" s="1">
        <f t="shared" si="32"/>
        <v>1.0242703498634965E-2</v>
      </c>
      <c r="N154" s="7">
        <f t="shared" si="33"/>
        <v>0.99594318489442046</v>
      </c>
      <c r="P154" s="1">
        <f t="shared" si="28"/>
        <v>1.5077008465095769E-2</v>
      </c>
      <c r="Q154" s="1">
        <f t="shared" si="29"/>
        <v>1.4531372672470703E-2</v>
      </c>
      <c r="R154" s="7">
        <f t="shared" si="30"/>
        <v>1.0375488128288635</v>
      </c>
    </row>
    <row r="155" spans="1:22">
      <c r="A155" s="151">
        <v>40238</v>
      </c>
      <c r="B155" s="10">
        <v>138.175003</v>
      </c>
      <c r="C155" s="10">
        <v>168.5</v>
      </c>
      <c r="D155" s="10">
        <v>138.175003</v>
      </c>
      <c r="E155" s="10">
        <v>157.52499399999999</v>
      </c>
      <c r="F155" s="10">
        <v>119.60037199999999</v>
      </c>
      <c r="G155" s="6">
        <f t="shared" si="34"/>
        <v>0.1649182833307189</v>
      </c>
      <c r="I155" s="10">
        <v>6919.5498049999997</v>
      </c>
      <c r="J155" s="6">
        <f t="shared" si="35"/>
        <v>6.1544421957709955E-2</v>
      </c>
      <c r="L155" s="1">
        <f t="shared" si="31"/>
        <v>1.2728874930452593E-2</v>
      </c>
      <c r="M155" s="1">
        <f t="shared" si="32"/>
        <v>1.1402788888885029E-2</v>
      </c>
      <c r="N155" s="7">
        <f t="shared" si="33"/>
        <v>1.1162948866711178</v>
      </c>
      <c r="P155" s="1">
        <f t="shared" si="28"/>
        <v>1.5543958757177635E-2</v>
      </c>
      <c r="Q155" s="1">
        <f t="shared" si="29"/>
        <v>1.5037453656140447E-2</v>
      </c>
      <c r="R155" s="7">
        <f t="shared" si="30"/>
        <v>1.0336829035433377</v>
      </c>
    </row>
    <row r="156" spans="1:22">
      <c r="A156" s="151">
        <v>40210</v>
      </c>
      <c r="B156" s="10">
        <v>140.5</v>
      </c>
      <c r="C156" s="10">
        <v>144.699997</v>
      </c>
      <c r="D156" s="10">
        <v>127.150002</v>
      </c>
      <c r="E156" s="10">
        <v>138.175003</v>
      </c>
      <c r="F156" s="10">
        <v>102.668465</v>
      </c>
      <c r="G156" s="6">
        <f t="shared" si="34"/>
        <v>-1.3740395376608634E-2</v>
      </c>
      <c r="I156" s="10">
        <v>6518.3798829999996</v>
      </c>
      <c r="J156" s="6">
        <f t="shared" si="35"/>
        <v>1.3026284778041273E-3</v>
      </c>
      <c r="L156" s="1">
        <f t="shared" si="31"/>
        <v>1.2401571751514212E-2</v>
      </c>
      <c r="M156" s="1">
        <f t="shared" si="32"/>
        <v>1.1466476636781631E-2</v>
      </c>
      <c r="N156" s="7">
        <f t="shared" si="33"/>
        <v>1.0815503440466645</v>
      </c>
      <c r="P156" s="1">
        <f t="shared" si="28"/>
        <v>1.6161594225415025E-2</v>
      </c>
      <c r="Q156" s="1">
        <f t="shared" si="29"/>
        <v>1.5757443202896463E-2</v>
      </c>
      <c r="R156" s="7">
        <f t="shared" si="30"/>
        <v>1.0256482614161841</v>
      </c>
    </row>
    <row r="157" spans="1:22">
      <c r="A157" s="151">
        <v>40179</v>
      </c>
      <c r="B157" s="10">
        <v>118.775002</v>
      </c>
      <c r="C157" s="10">
        <v>146</v>
      </c>
      <c r="D157" s="10">
        <v>117.974998</v>
      </c>
      <c r="E157" s="10">
        <v>140.10000600000001</v>
      </c>
      <c r="F157" s="10">
        <v>104.09882399999999</v>
      </c>
      <c r="G157" s="6">
        <f t="shared" si="34"/>
        <v>0.17954123463261926</v>
      </c>
      <c r="I157" s="10">
        <v>6509.8999020000001</v>
      </c>
      <c r="J157" s="6">
        <f t="shared" si="35"/>
        <v>-4.8573217581935751E-2</v>
      </c>
      <c r="L157" s="1">
        <f t="shared" si="31"/>
        <v>1.3577111068385961E-2</v>
      </c>
      <c r="M157" s="1">
        <f t="shared" si="32"/>
        <v>1.2418736259295514E-2</v>
      </c>
      <c r="N157" s="7">
        <f t="shared" si="33"/>
        <v>1.0932763837563098</v>
      </c>
      <c r="P157" s="1">
        <f t="shared" si="28"/>
        <v>1.6153853910140532E-2</v>
      </c>
      <c r="Q157" s="1">
        <f t="shared" si="29"/>
        <v>1.5765673718992301E-2</v>
      </c>
      <c r="R157" s="7">
        <f t="shared" si="30"/>
        <v>1.0246218587335476</v>
      </c>
    </row>
    <row r="158" spans="1:22">
      <c r="A158" s="151">
        <v>40148</v>
      </c>
      <c r="B158" s="10">
        <v>109.525002</v>
      </c>
      <c r="C158" s="10">
        <v>121.5</v>
      </c>
      <c r="D158" s="10">
        <v>109.525002</v>
      </c>
      <c r="E158" s="10">
        <v>118.775002</v>
      </c>
      <c r="F158" s="10">
        <v>88.253653999999997</v>
      </c>
      <c r="G158" s="6">
        <f t="shared" si="34"/>
        <v>7.4400355422487754E-2</v>
      </c>
      <c r="I158" s="10">
        <v>6842.25</v>
      </c>
      <c r="J158" s="6">
        <f t="shared" si="35"/>
        <v>3.9069218248405355E-2</v>
      </c>
      <c r="L158" s="1">
        <f t="shared" si="31"/>
        <v>1.3702237781607772E-2</v>
      </c>
      <c r="M158" s="1">
        <f t="shared" si="32"/>
        <v>1.2393523232774118E-2</v>
      </c>
      <c r="N158" s="7">
        <f t="shared" si="33"/>
        <v>1.1055966511098974</v>
      </c>
      <c r="P158" s="1">
        <f t="shared" si="28"/>
        <v>1.7084608056245291E-2</v>
      </c>
      <c r="Q158" s="1">
        <f t="shared" si="29"/>
        <v>1.688317820164871E-2</v>
      </c>
      <c r="R158" s="7">
        <f t="shared" si="30"/>
        <v>1.0119308019017954</v>
      </c>
    </row>
    <row r="159" spans="1:22">
      <c r="A159" s="151">
        <v>40118</v>
      </c>
      <c r="B159" s="10">
        <v>106.125</v>
      </c>
      <c r="C159" s="10">
        <v>116</v>
      </c>
      <c r="D159" s="10">
        <v>100.150002</v>
      </c>
      <c r="E159" s="10">
        <v>110.550003</v>
      </c>
      <c r="F159" s="10">
        <v>82.142241999999996</v>
      </c>
      <c r="G159" s="6">
        <f t="shared" si="34"/>
        <v>4.1696195276157186E-2</v>
      </c>
      <c r="I159" s="10">
        <v>6584.9799800000001</v>
      </c>
      <c r="J159" s="6">
        <f t="shared" si="35"/>
        <v>7.2047999133820387E-2</v>
      </c>
      <c r="L159" s="1">
        <f t="shared" si="31"/>
        <v>1.3420629725043369E-2</v>
      </c>
      <c r="M159" s="1">
        <f t="shared" si="32"/>
        <v>1.2421942214588488E-2</v>
      </c>
      <c r="N159" s="7">
        <f t="shared" si="33"/>
        <v>1.0803970500910889</v>
      </c>
      <c r="P159" s="1">
        <f t="shared" ref="P159:P160" si="39">COVAR(G159:G182,J159:J182)</f>
        <v>1.7197641798482714E-2</v>
      </c>
      <c r="Q159" s="1">
        <f t="shared" ref="Q159:Q160" si="40">VAR(J159:J182)</f>
        <v>1.7188581462837672E-2</v>
      </c>
      <c r="R159" s="7">
        <f t="shared" ref="R159:R160" si="41">P159/Q159</f>
        <v>1.0005271136343992</v>
      </c>
    </row>
    <row r="160" spans="1:22">
      <c r="A160" s="151">
        <v>40087</v>
      </c>
      <c r="B160" s="10">
        <v>105</v>
      </c>
      <c r="C160" s="10">
        <v>111.5</v>
      </c>
      <c r="D160" s="10">
        <v>101.25</v>
      </c>
      <c r="E160" s="10">
        <v>106.125</v>
      </c>
      <c r="F160" s="10">
        <v>78.854316999999995</v>
      </c>
      <c r="G160" s="6">
        <f t="shared" si="34"/>
        <v>1.8963270355762146E-2</v>
      </c>
      <c r="I160" s="10">
        <v>6142.4301759999998</v>
      </c>
      <c r="J160" s="6">
        <f t="shared" si="35"/>
        <v>-6.2617957956583134E-2</v>
      </c>
      <c r="L160" s="1">
        <f t="shared" si="31"/>
        <v>1.6768625209989441E-2</v>
      </c>
      <c r="M160" s="1">
        <f t="shared" si="32"/>
        <v>1.4064088292664804E-2</v>
      </c>
      <c r="N160" s="7">
        <f t="shared" si="33"/>
        <v>1.1923009057569129</v>
      </c>
      <c r="P160" s="1">
        <f t="shared" si="39"/>
        <v>1.7239813134245434E-2</v>
      </c>
      <c r="Q160" s="1">
        <f t="shared" si="40"/>
        <v>1.696554699662825E-2</v>
      </c>
      <c r="R160" s="7">
        <f t="shared" si="41"/>
        <v>1.0161660651243187</v>
      </c>
    </row>
    <row r="161" spans="1:24">
      <c r="A161" s="151">
        <v>40057</v>
      </c>
      <c r="B161" s="10">
        <v>86.949996999999996</v>
      </c>
      <c r="C161" s="10">
        <v>106.25</v>
      </c>
      <c r="D161" s="10">
        <v>84.824996999999996</v>
      </c>
      <c r="E161" s="10">
        <v>104.150002</v>
      </c>
      <c r="F161" s="10">
        <v>77.386809999999997</v>
      </c>
      <c r="G161" s="6">
        <f t="shared" si="34"/>
        <v>0.22062702751880545</v>
      </c>
      <c r="I161" s="10">
        <v>6552.75</v>
      </c>
      <c r="J161" s="6">
        <f t="shared" si="35"/>
        <v>8.4065001466911107E-2</v>
      </c>
      <c r="L161" s="1">
        <f t="shared" si="31"/>
        <v>2.3148881399659805E-2</v>
      </c>
      <c r="M161" s="1">
        <f t="shared" si="32"/>
        <v>2.2029262681888134E-2</v>
      </c>
      <c r="N161" s="7">
        <f t="shared" si="33"/>
        <v>1.0508241575734711</v>
      </c>
    </row>
    <row r="162" spans="1:24">
      <c r="A162" s="151">
        <v>40026</v>
      </c>
      <c r="B162" s="10">
        <v>92.949996999999996</v>
      </c>
      <c r="C162" s="10">
        <v>94</v>
      </c>
      <c r="D162" s="10">
        <v>80</v>
      </c>
      <c r="E162" s="10">
        <v>85.324996999999996</v>
      </c>
      <c r="F162" s="10">
        <v>63.399227000000003</v>
      </c>
      <c r="G162" s="6">
        <f t="shared" si="34"/>
        <v>-5.2283836200301789E-2</v>
      </c>
      <c r="I162" s="10">
        <v>6044.6098629999997</v>
      </c>
      <c r="J162" s="6">
        <f t="shared" si="35"/>
        <v>1.754601255355441E-2</v>
      </c>
      <c r="L162" s="1">
        <f t="shared" si="31"/>
        <v>2.5178875029783169E-2</v>
      </c>
      <c r="M162" s="1">
        <f t="shared" si="32"/>
        <v>2.3933426924042014E-2</v>
      </c>
      <c r="N162" s="7">
        <f t="shared" si="33"/>
        <v>1.0520380181949647</v>
      </c>
    </row>
    <row r="163" spans="1:24">
      <c r="A163" s="151">
        <v>39995</v>
      </c>
      <c r="B163" s="10">
        <v>95.150002000000001</v>
      </c>
      <c r="C163" s="10">
        <v>103.349998</v>
      </c>
      <c r="D163" s="10">
        <v>78.300003000000004</v>
      </c>
      <c r="E163" s="10">
        <v>92.150002000000001</v>
      </c>
      <c r="F163" s="10">
        <v>66.896850999999998</v>
      </c>
      <c r="G163" s="6">
        <f t="shared" si="34"/>
        <v>-9.1398194114528427E-3</v>
      </c>
      <c r="I163" s="10">
        <v>5940.3798829999996</v>
      </c>
      <c r="J163" s="6">
        <f t="shared" si="35"/>
        <v>7.9403737536625107E-2</v>
      </c>
      <c r="L163" s="1">
        <f t="shared" si="31"/>
        <v>2.5322477773636169E-2</v>
      </c>
      <c r="M163" s="1">
        <f t="shared" si="32"/>
        <v>2.404996550489211E-2</v>
      </c>
      <c r="N163" s="7">
        <f t="shared" si="33"/>
        <v>1.0529111889364335</v>
      </c>
    </row>
    <row r="164" spans="1:24">
      <c r="A164" s="151">
        <v>39965</v>
      </c>
      <c r="B164" s="10">
        <v>92.449996999999996</v>
      </c>
      <c r="C164" s="10">
        <v>115.849998</v>
      </c>
      <c r="D164" s="10">
        <v>86.275002000000001</v>
      </c>
      <c r="E164" s="10">
        <v>93</v>
      </c>
      <c r="F164" s="10">
        <v>67.513915999999995</v>
      </c>
      <c r="G164" s="6">
        <f t="shared" si="34"/>
        <v>2.169754818463672E-2</v>
      </c>
      <c r="I164" s="10">
        <v>5503.3901370000003</v>
      </c>
      <c r="J164" s="6">
        <f t="shared" si="35"/>
        <v>-3.0541846836646307E-3</v>
      </c>
      <c r="L164" s="1">
        <f t="shared" si="31"/>
        <v>2.5884003860883135E-2</v>
      </c>
      <c r="M164" s="1">
        <f t="shared" si="32"/>
        <v>2.3706280111085366E-2</v>
      </c>
      <c r="N164" s="7">
        <f t="shared" si="33"/>
        <v>1.0918627359329749</v>
      </c>
    </row>
    <row r="165" spans="1:24">
      <c r="A165" s="151">
        <v>39934</v>
      </c>
      <c r="B165" s="10">
        <v>61.5</v>
      </c>
      <c r="C165" s="10">
        <v>95.425003000000004</v>
      </c>
      <c r="D165" s="10">
        <v>60.775002000000001</v>
      </c>
      <c r="E165" s="10">
        <v>91.025002000000001</v>
      </c>
      <c r="F165" s="10">
        <v>66.080139000000003</v>
      </c>
      <c r="G165" s="6">
        <f t="shared" si="34"/>
        <v>0.48008106920939059</v>
      </c>
      <c r="I165" s="10">
        <v>5520.25</v>
      </c>
      <c r="J165" s="6">
        <f t="shared" si="35"/>
        <v>0.33325848681876763</v>
      </c>
      <c r="L165" s="1">
        <f t="shared" si="31"/>
        <v>2.8754353847077974E-2</v>
      </c>
      <c r="M165" s="1">
        <f t="shared" si="32"/>
        <v>2.7398830255178582E-2</v>
      </c>
      <c r="N165" s="7">
        <f t="shared" si="33"/>
        <v>1.0494737760435298</v>
      </c>
    </row>
    <row r="166" spans="1:24">
      <c r="A166" s="151">
        <v>39904</v>
      </c>
      <c r="B166" s="10">
        <v>45.900002000000001</v>
      </c>
      <c r="C166" s="10">
        <v>64.5</v>
      </c>
      <c r="D166" s="10">
        <v>45.900002000000001</v>
      </c>
      <c r="E166" s="10">
        <v>61.5</v>
      </c>
      <c r="F166" s="10">
        <v>44.646296999999997</v>
      </c>
      <c r="G166" s="6">
        <f t="shared" si="34"/>
        <v>0.35611886017519162</v>
      </c>
      <c r="I166" s="10">
        <v>4140.419922</v>
      </c>
      <c r="J166" s="6">
        <f t="shared" si="35"/>
        <v>0.17507723445600298</v>
      </c>
      <c r="L166" s="1">
        <f t="shared" si="31"/>
        <v>1.6264077578994906E-2</v>
      </c>
      <c r="M166" s="1">
        <f t="shared" si="32"/>
        <v>1.6405241305268013E-2</v>
      </c>
      <c r="N166" s="7">
        <f t="shared" si="33"/>
        <v>0.99139520573660944</v>
      </c>
    </row>
    <row r="167" spans="1:24">
      <c r="A167" s="151">
        <v>39873</v>
      </c>
      <c r="B167" s="10">
        <v>45.799999</v>
      </c>
      <c r="C167" s="10">
        <v>50.974997999999999</v>
      </c>
      <c r="D167" s="10">
        <v>40.049999</v>
      </c>
      <c r="E167" s="10">
        <v>45.349997999999999</v>
      </c>
      <c r="F167" s="10">
        <v>32.922111999999998</v>
      </c>
      <c r="G167" s="6">
        <f t="shared" si="34"/>
        <v>-3.664338928548723E-2</v>
      </c>
      <c r="I167" s="10">
        <v>3523.530029</v>
      </c>
      <c r="J167" s="6">
        <f t="shared" si="35"/>
        <v>9.0163983389319621E-2</v>
      </c>
      <c r="L167" s="1">
        <f t="shared" si="31"/>
        <v>1.227802528752605E-2</v>
      </c>
      <c r="M167" s="1">
        <f t="shared" si="32"/>
        <v>1.451831315945301E-2</v>
      </c>
      <c r="N167" s="7">
        <f t="shared" si="33"/>
        <v>0.84569227517535073</v>
      </c>
    </row>
    <row r="168" spans="1:24">
      <c r="A168" s="151">
        <v>39845</v>
      </c>
      <c r="B168" s="10">
        <v>55</v>
      </c>
      <c r="C168" s="10">
        <v>58.75</v>
      </c>
      <c r="D168" s="10">
        <v>45.75</v>
      </c>
      <c r="E168" s="10">
        <v>47.075001</v>
      </c>
      <c r="F168" s="10">
        <v>34.174377</v>
      </c>
      <c r="G168" s="6">
        <f t="shared" si="34"/>
        <v>-7.4576945326850538E-2</v>
      </c>
      <c r="I168" s="10">
        <v>3232.110107</v>
      </c>
      <c r="J168" s="6">
        <f t="shared" si="35"/>
        <v>-5.6802899074335819E-2</v>
      </c>
      <c r="L168" s="1">
        <f t="shared" si="31"/>
        <v>1.3333051306915991E-2</v>
      </c>
      <c r="M168" s="1">
        <f t="shared" si="32"/>
        <v>1.3436589373514657E-2</v>
      </c>
      <c r="N168" s="7">
        <f t="shared" si="33"/>
        <v>0.99229431936033163</v>
      </c>
    </row>
    <row r="169" spans="1:24">
      <c r="A169" s="151">
        <v>39814</v>
      </c>
      <c r="B169" s="10">
        <v>47</v>
      </c>
      <c r="C169" s="10">
        <v>57.825001</v>
      </c>
      <c r="D169" s="10">
        <v>41.5</v>
      </c>
      <c r="E169" s="10">
        <v>53.950001</v>
      </c>
      <c r="F169" s="10">
        <v>36.928382999999997</v>
      </c>
      <c r="G169" s="6">
        <f t="shared" si="34"/>
        <v>0.16648681619494474</v>
      </c>
      <c r="I169" s="10">
        <v>3426.76001</v>
      </c>
      <c r="J169" s="6">
        <f t="shared" si="35"/>
        <v>-4.7288622924424116E-2</v>
      </c>
      <c r="L169" s="1">
        <f t="shared" si="31"/>
        <v>1.3509510456265897E-2</v>
      </c>
      <c r="M169" s="1">
        <f t="shared" si="32"/>
        <v>1.361657550333047E-2</v>
      </c>
      <c r="N169" s="7">
        <f t="shared" si="33"/>
        <v>0.99213715320431439</v>
      </c>
    </row>
    <row r="170" spans="1:24">
      <c r="A170" s="151">
        <v>39783</v>
      </c>
      <c r="B170" s="10">
        <v>42.849997999999999</v>
      </c>
      <c r="C170" s="10">
        <v>53.224997999999999</v>
      </c>
      <c r="D170" s="10">
        <v>41.275002000000001</v>
      </c>
      <c r="E170" s="10">
        <v>46.25</v>
      </c>
      <c r="F170" s="10">
        <v>31.657779999999999</v>
      </c>
      <c r="G170" s="6">
        <f t="shared" si="34"/>
        <v>0</v>
      </c>
      <c r="I170" s="10">
        <v>3596.8500979999999</v>
      </c>
      <c r="J170" s="6">
        <f t="shared" si="35"/>
        <v>9.14097557476162E-2</v>
      </c>
      <c r="L170" s="1">
        <f t="shared" si="31"/>
        <v>1.3768998100818114E-2</v>
      </c>
      <c r="M170" s="1">
        <f t="shared" si="32"/>
        <v>1.4686453111898758E-2</v>
      </c>
      <c r="N170" s="7">
        <f t="shared" si="33"/>
        <v>0.93753052530176018</v>
      </c>
    </row>
    <row r="171" spans="1:24">
      <c r="A171" s="151">
        <v>39753</v>
      </c>
      <c r="B171" s="10">
        <v>59.5</v>
      </c>
      <c r="C171" s="10">
        <v>63.974997999999999</v>
      </c>
      <c r="D171" s="10">
        <v>36.849997999999999</v>
      </c>
      <c r="E171" s="10">
        <v>46.25</v>
      </c>
      <c r="F171" s="10">
        <v>31.657779999999999</v>
      </c>
      <c r="G171" s="6">
        <f t="shared" si="34"/>
        <v>-0.20906389395556277</v>
      </c>
      <c r="I171" s="10">
        <v>3295.6000979999999</v>
      </c>
      <c r="J171" s="6">
        <f t="shared" si="35"/>
        <v>-7.6880835606053466E-2</v>
      </c>
      <c r="L171" s="1">
        <f t="shared" si="31"/>
        <v>1.4900356238641353E-2</v>
      </c>
      <c r="M171" s="1">
        <f t="shared" si="32"/>
        <v>1.4712966584867542E-2</v>
      </c>
      <c r="N171" s="7">
        <f t="shared" si="33"/>
        <v>1.012736360997825</v>
      </c>
    </row>
    <row r="172" spans="1:24">
      <c r="A172" s="151">
        <v>39722</v>
      </c>
      <c r="B172" s="10">
        <v>73</v>
      </c>
      <c r="C172" s="10">
        <v>77</v>
      </c>
      <c r="D172" s="10">
        <v>45.549999</v>
      </c>
      <c r="E172" s="10">
        <v>58.474997999999999</v>
      </c>
      <c r="F172" s="10">
        <v>40.025711000000001</v>
      </c>
      <c r="G172" s="6">
        <f t="shared" si="34"/>
        <v>-0.1942816127077438</v>
      </c>
      <c r="I172" s="10">
        <v>3570.070068</v>
      </c>
      <c r="J172" s="6">
        <f t="shared" si="35"/>
        <v>-0.27105572705855197</v>
      </c>
      <c r="L172" s="1">
        <f t="shared" ref="L172" si="42">COVAR(G172:G183,J172:J183)</f>
        <v>1.5084950971225301E-2</v>
      </c>
      <c r="M172" s="1">
        <f t="shared" ref="M172" si="43">VAR(J172:J183)</f>
        <v>1.5121138277442272E-2</v>
      </c>
      <c r="N172" s="7">
        <f t="shared" ref="N172" si="44">L172/M172</f>
        <v>0.99760683980577347</v>
      </c>
      <c r="X172" s="9">
        <f>A172</f>
        <v>39722</v>
      </c>
    </row>
    <row r="173" spans="1:24">
      <c r="A173" s="151">
        <v>39692</v>
      </c>
      <c r="B173" s="10">
        <v>89.525002000000001</v>
      </c>
      <c r="C173" s="10">
        <v>99.949996999999996</v>
      </c>
      <c r="D173" s="10">
        <v>68.5</v>
      </c>
      <c r="E173" s="10">
        <v>72.574996999999996</v>
      </c>
      <c r="F173" s="10">
        <v>49.677047999999999</v>
      </c>
      <c r="G173" s="6">
        <f t="shared" si="34"/>
        <v>-0.18523716846137264</v>
      </c>
      <c r="I173" s="10">
        <v>4897.5898440000001</v>
      </c>
      <c r="J173" s="6">
        <f t="shared" si="35"/>
        <v>-0.13032383010875881</v>
      </c>
    </row>
    <row r="174" spans="1:24">
      <c r="A174" s="151">
        <v>39661</v>
      </c>
      <c r="B174" s="10">
        <v>84.724997999999999</v>
      </c>
      <c r="C174" s="10">
        <v>96.25</v>
      </c>
      <c r="D174" s="10">
        <v>78.25</v>
      </c>
      <c r="E174" s="10">
        <v>89.074996999999996</v>
      </c>
      <c r="F174" s="10">
        <v>60.971176</v>
      </c>
      <c r="G174" s="6">
        <f t="shared" si="34"/>
        <v>7.7143619323551987E-2</v>
      </c>
      <c r="I174" s="10">
        <v>5631.5097660000001</v>
      </c>
      <c r="J174" s="6">
        <f t="shared" si="35"/>
        <v>5.412400332717917E-2</v>
      </c>
    </row>
    <row r="175" spans="1:24">
      <c r="A175" s="151">
        <v>39630</v>
      </c>
      <c r="B175" s="10">
        <v>55.549999</v>
      </c>
      <c r="C175" s="10">
        <v>90.75</v>
      </c>
      <c r="D175" s="10">
        <v>49.5</v>
      </c>
      <c r="E175" s="10">
        <v>85.025002000000001</v>
      </c>
      <c r="F175" s="10">
        <v>56.604500000000002</v>
      </c>
      <c r="G175" s="6">
        <f t="shared" si="34"/>
        <v>0.47805325467303178</v>
      </c>
      <c r="I175" s="10">
        <v>5342.3598629999997</v>
      </c>
      <c r="J175" s="6">
        <f t="shared" si="35"/>
        <v>2.4349134030979699E-2</v>
      </c>
    </row>
    <row r="176" spans="1:24">
      <c r="A176" s="151">
        <v>39600</v>
      </c>
      <c r="B176" s="10">
        <v>64.599997999999999</v>
      </c>
      <c r="C176" s="10">
        <v>67.724997999999999</v>
      </c>
      <c r="D176" s="10">
        <v>53.025002000000001</v>
      </c>
      <c r="E176" s="10">
        <v>57.525002000000001</v>
      </c>
      <c r="F176" s="10">
        <v>38.296658000000001</v>
      </c>
      <c r="G176" s="6">
        <f t="shared" si="34"/>
        <v>-0.10501740180284384</v>
      </c>
      <c r="I176" s="10">
        <v>5215.3701170000004</v>
      </c>
      <c r="J176" s="6">
        <f t="shared" si="35"/>
        <v>-0.19453372852310485</v>
      </c>
    </row>
    <row r="177" spans="1:10">
      <c r="A177" s="151">
        <v>39569</v>
      </c>
      <c r="B177" s="10">
        <v>68.224997999999999</v>
      </c>
      <c r="C177" s="10">
        <v>71.25</v>
      </c>
      <c r="D177" s="10">
        <v>61.5</v>
      </c>
      <c r="E177" s="10">
        <v>64.275002000000001</v>
      </c>
      <c r="F177" s="10">
        <v>42.790393999999999</v>
      </c>
      <c r="G177" s="6">
        <f t="shared" si="34"/>
        <v>-5.7896639201050863E-2</v>
      </c>
      <c r="I177" s="10">
        <v>6474.9702150000003</v>
      </c>
      <c r="J177" s="6">
        <f t="shared" si="35"/>
        <v>-5.9558140313840262E-2</v>
      </c>
    </row>
    <row r="178" spans="1:10">
      <c r="A178" s="151">
        <v>39539</v>
      </c>
      <c r="B178" s="10">
        <v>58</v>
      </c>
      <c r="C178" s="10">
        <v>79</v>
      </c>
      <c r="D178" s="10">
        <v>55.025002000000001</v>
      </c>
      <c r="E178" s="10">
        <v>68.224997999999999</v>
      </c>
      <c r="F178" s="10">
        <v>45.420062999999999</v>
      </c>
      <c r="G178" s="6">
        <f t="shared" si="34"/>
        <v>0.17325886378793454</v>
      </c>
      <c r="I178" s="10">
        <v>6885.0297849999997</v>
      </c>
      <c r="J178" s="6">
        <f t="shared" si="35"/>
        <v>0.11819520057364641</v>
      </c>
    </row>
    <row r="179" spans="1:10">
      <c r="A179" s="151">
        <v>39508</v>
      </c>
      <c r="B179" s="10">
        <v>62.450001</v>
      </c>
      <c r="C179" s="10">
        <v>62.549999</v>
      </c>
      <c r="D179" s="10">
        <v>49</v>
      </c>
      <c r="E179" s="10">
        <v>58.150002000000001</v>
      </c>
      <c r="F179" s="10">
        <v>38.712738000000002</v>
      </c>
      <c r="G179" s="6">
        <f t="shared" si="34"/>
        <v>-8.9628302782932434E-2</v>
      </c>
      <c r="I179" s="10">
        <v>6157.2700199999999</v>
      </c>
      <c r="J179" s="6">
        <f t="shared" si="35"/>
        <v>-0.13123711020419856</v>
      </c>
    </row>
    <row r="180" spans="1:10">
      <c r="A180" s="151">
        <v>39479</v>
      </c>
      <c r="B180" s="10">
        <v>61.150002000000001</v>
      </c>
      <c r="C180" s="10">
        <v>71.974997999999999</v>
      </c>
      <c r="D180" s="10">
        <v>56.099997999999999</v>
      </c>
      <c r="E180" s="10">
        <v>63.875</v>
      </c>
      <c r="F180" s="10">
        <v>42.524101000000002</v>
      </c>
      <c r="G180" s="6">
        <f t="shared" si="34"/>
        <v>5.4913416755574443E-2</v>
      </c>
      <c r="I180" s="10">
        <v>7087.3999020000001</v>
      </c>
      <c r="J180" s="6">
        <f t="shared" si="35"/>
        <v>-1.0143796210478978E-2</v>
      </c>
    </row>
    <row r="181" spans="1:10">
      <c r="A181" s="151">
        <v>39448</v>
      </c>
      <c r="B181" s="10">
        <v>65.625</v>
      </c>
      <c r="C181" s="10">
        <v>77.5</v>
      </c>
      <c r="D181" s="10">
        <v>45</v>
      </c>
      <c r="E181" s="10">
        <v>60.549999</v>
      </c>
      <c r="F181" s="10">
        <v>40.310513</v>
      </c>
      <c r="G181" s="6">
        <f t="shared" si="34"/>
        <v>-4.4199077117309783E-2</v>
      </c>
      <c r="I181" s="10">
        <v>7160.0297849999997</v>
      </c>
      <c r="J181" s="6">
        <f t="shared" si="35"/>
        <v>-0.16670487336084447</v>
      </c>
    </row>
    <row r="182" spans="1:10">
      <c r="A182" s="151">
        <v>39417</v>
      </c>
      <c r="B182" s="10">
        <v>61</v>
      </c>
      <c r="C182" s="10">
        <v>67.5</v>
      </c>
      <c r="D182" s="10">
        <v>57.5</v>
      </c>
      <c r="E182" s="10">
        <v>63.349997999999999</v>
      </c>
      <c r="F182" s="10">
        <v>42.174590999999999</v>
      </c>
      <c r="G182" s="6">
        <f t="shared" si="34"/>
        <v>8.7553453416042967E-2</v>
      </c>
      <c r="I182" s="10">
        <v>8592.4296880000002</v>
      </c>
      <c r="J182" s="6">
        <f t="shared" si="35"/>
        <v>9.2353363452114978E-2</v>
      </c>
    </row>
    <row r="183" spans="1:10">
      <c r="A183" s="151">
        <v>39387</v>
      </c>
      <c r="B183" s="10">
        <v>54</v>
      </c>
      <c r="C183" s="10">
        <v>63.174999</v>
      </c>
      <c r="D183" s="10">
        <v>49.025002000000001</v>
      </c>
      <c r="E183" s="10">
        <v>58.25</v>
      </c>
      <c r="F183" s="10">
        <v>38.779327000000002</v>
      </c>
      <c r="G183" s="6">
        <f t="shared" si="34"/>
        <v>0.10061429704619577</v>
      </c>
      <c r="I183" s="10">
        <v>7865.9799800000001</v>
      </c>
      <c r="J183" s="6">
        <f t="shared" si="35"/>
        <v>1.0373472139477532E-2</v>
      </c>
    </row>
    <row r="184" spans="1:10">
      <c r="A184" s="151">
        <v>39356</v>
      </c>
      <c r="B184" s="10">
        <v>61</v>
      </c>
      <c r="C184" s="10">
        <v>61.924999</v>
      </c>
      <c r="D184" s="10">
        <v>45.5</v>
      </c>
      <c r="E184" s="10">
        <v>52.924999</v>
      </c>
      <c r="F184" s="10">
        <v>35.234256999999999</v>
      </c>
      <c r="G184" s="6">
        <f t="shared" si="34"/>
        <v>-0.12011628644533476</v>
      </c>
      <c r="I184" s="10">
        <v>7785.2202150000003</v>
      </c>
    </row>
    <row r="185" spans="1:10">
      <c r="A185" s="151">
        <v>39326</v>
      </c>
      <c r="B185" s="10">
        <v>48.950001</v>
      </c>
      <c r="C185" s="10">
        <v>61.900002000000001</v>
      </c>
      <c r="D185" s="10">
        <v>43.400002000000001</v>
      </c>
      <c r="E185" s="10">
        <v>60.150002000000001</v>
      </c>
      <c r="F185" s="10">
        <v>40.044220000000003</v>
      </c>
      <c r="G185" s="6">
        <f t="shared" si="34"/>
        <v>0.29146536813897883</v>
      </c>
    </row>
    <row r="186" spans="1:10">
      <c r="A186" s="151">
        <v>39295</v>
      </c>
      <c r="B186" s="10">
        <v>42.049999</v>
      </c>
      <c r="C186" s="10">
        <v>48.900002000000001</v>
      </c>
      <c r="D186" s="10">
        <v>38.5</v>
      </c>
      <c r="E186" s="10">
        <v>46.575001</v>
      </c>
      <c r="F186" s="10">
        <v>31.006809000000001</v>
      </c>
      <c r="G186" s="6">
        <f t="shared" si="34"/>
        <v>0.12150206173619876</v>
      </c>
    </row>
    <row r="187" spans="1:10">
      <c r="A187" s="151">
        <v>39264</v>
      </c>
      <c r="B187" s="10">
        <v>40.325001</v>
      </c>
      <c r="C187" s="10">
        <v>44.75</v>
      </c>
      <c r="D187" s="10">
        <v>39.150002000000001</v>
      </c>
      <c r="E187" s="10">
        <v>42.5</v>
      </c>
      <c r="F187" s="10">
        <v>27.647572</v>
      </c>
      <c r="G187" s="6">
        <f t="shared" si="34"/>
        <v>7.4589095845674094E-2</v>
      </c>
    </row>
    <row r="188" spans="1:10">
      <c r="A188" s="151">
        <v>39234</v>
      </c>
      <c r="B188" s="10">
        <v>37.474997999999999</v>
      </c>
      <c r="C188" s="10">
        <v>40.150002000000001</v>
      </c>
      <c r="D188" s="10">
        <v>35</v>
      </c>
      <c r="E188" s="10">
        <v>39.549999</v>
      </c>
      <c r="F188" s="10">
        <v>25.728505999999999</v>
      </c>
      <c r="G188" s="6">
        <f t="shared" si="34"/>
        <v>6.1745028316151661E-2</v>
      </c>
    </row>
    <row r="189" spans="1:10">
      <c r="A189" s="151">
        <v>39203</v>
      </c>
      <c r="B189" s="10">
        <v>36.525002000000001</v>
      </c>
      <c r="C189" s="10">
        <v>39.400002000000001</v>
      </c>
      <c r="D189" s="10">
        <v>34.775002000000001</v>
      </c>
      <c r="E189" s="10">
        <v>37.25</v>
      </c>
      <c r="F189" s="10">
        <v>24.232282999999999</v>
      </c>
      <c r="G189" s="6">
        <f t="shared" si="34"/>
        <v>1.9849287799395716E-2</v>
      </c>
    </row>
    <row r="190" spans="1:10">
      <c r="A190" s="151">
        <v>39173</v>
      </c>
      <c r="B190" s="10">
        <v>31.774999999999999</v>
      </c>
      <c r="C190" s="10">
        <v>38.474997999999999</v>
      </c>
      <c r="D190" s="10">
        <v>31.774999999999999</v>
      </c>
      <c r="E190" s="10">
        <v>36.525002000000001</v>
      </c>
      <c r="F190" s="10">
        <v>23.760650999999999</v>
      </c>
      <c r="G190" s="6">
        <f t="shared" si="34"/>
        <v>0.1161191514739344</v>
      </c>
    </row>
    <row r="191" spans="1:10">
      <c r="A191" s="151">
        <v>39142</v>
      </c>
      <c r="B191" s="10">
        <v>37.549999</v>
      </c>
      <c r="C191" s="10">
        <v>39.875</v>
      </c>
      <c r="D191" s="10">
        <v>31.450001</v>
      </c>
      <c r="E191" s="10">
        <v>32.724997999999999</v>
      </c>
      <c r="F191" s="10">
        <v>21.288633000000001</v>
      </c>
      <c r="G191" s="6">
        <f t="shared" si="34"/>
        <v>-0.15055172993327906</v>
      </c>
    </row>
    <row r="192" spans="1:10">
      <c r="A192" s="151">
        <v>39114</v>
      </c>
      <c r="B192" s="10">
        <v>45</v>
      </c>
      <c r="C192" s="10">
        <v>46.349997999999999</v>
      </c>
      <c r="D192" s="10">
        <v>37</v>
      </c>
      <c r="E192" s="10">
        <v>38.525002000000001</v>
      </c>
      <c r="F192" s="10">
        <v>25.061717999999999</v>
      </c>
      <c r="G192" s="6">
        <f t="shared" si="34"/>
        <v>-0.15002752724922963</v>
      </c>
    </row>
    <row r="193" spans="1:7">
      <c r="A193" s="151">
        <v>39083</v>
      </c>
      <c r="B193" s="10">
        <v>41.025002000000001</v>
      </c>
      <c r="C193" s="10">
        <v>50</v>
      </c>
      <c r="D193" s="10">
        <v>40.599997999999999</v>
      </c>
      <c r="E193" s="10">
        <v>45.325001</v>
      </c>
      <c r="F193" s="10">
        <v>29.485329</v>
      </c>
      <c r="G193" s="6">
        <f t="shared" si="34"/>
        <v>0.10481408043136617</v>
      </c>
    </row>
    <row r="194" spans="1:7">
      <c r="A194" s="151">
        <v>39052</v>
      </c>
      <c r="B194" s="10">
        <v>40</v>
      </c>
      <c r="C194" s="10">
        <v>45.400002000000001</v>
      </c>
      <c r="D194" s="10">
        <v>37.549999</v>
      </c>
      <c r="E194" s="10">
        <v>41.025002000000001</v>
      </c>
      <c r="F194" s="10">
        <v>26.688046</v>
      </c>
      <c r="G194" s="6">
        <f t="shared" si="34"/>
        <v>1.6728755537272544E-2</v>
      </c>
    </row>
    <row r="195" spans="1:7">
      <c r="A195" s="151">
        <v>39022</v>
      </c>
      <c r="B195" s="10">
        <v>40.5</v>
      </c>
      <c r="C195" s="10">
        <v>43.5</v>
      </c>
      <c r="D195" s="10">
        <v>38.525002000000001</v>
      </c>
      <c r="E195" s="10">
        <v>40.349997999999999</v>
      </c>
      <c r="F195" s="10">
        <v>26.248933999999998</v>
      </c>
      <c r="G195" s="6">
        <f t="shared" ref="G195:G240" si="45">(F195-F196)/F196</f>
        <v>1.240826163649207E-3</v>
      </c>
    </row>
    <row r="196" spans="1:7">
      <c r="A196" s="151">
        <v>38991</v>
      </c>
      <c r="B196" s="10">
        <v>34.400002000000001</v>
      </c>
      <c r="C196" s="10">
        <v>43.275002000000001</v>
      </c>
      <c r="D196" s="10">
        <v>33.599997999999999</v>
      </c>
      <c r="E196" s="10">
        <v>40.299999</v>
      </c>
      <c r="F196" s="10">
        <v>26.216404000000001</v>
      </c>
      <c r="G196" s="6">
        <f t="shared" si="45"/>
        <v>0.17151159712026004</v>
      </c>
    </row>
    <row r="197" spans="1:7">
      <c r="A197" s="151">
        <v>38961</v>
      </c>
      <c r="B197" s="10">
        <v>30.6</v>
      </c>
      <c r="C197" s="10">
        <v>36.900002000000001</v>
      </c>
      <c r="D197" s="10">
        <v>30.6</v>
      </c>
      <c r="E197" s="10">
        <v>34.400002000000001</v>
      </c>
      <c r="F197" s="10">
        <v>22.378271000000002</v>
      </c>
      <c r="G197" s="6">
        <f t="shared" si="45"/>
        <v>8.6887961460385299E-2</v>
      </c>
    </row>
    <row r="198" spans="1:7">
      <c r="A198" s="151">
        <v>38930</v>
      </c>
      <c r="B198" s="10">
        <v>30.075001</v>
      </c>
      <c r="C198" s="10">
        <v>35.5</v>
      </c>
      <c r="D198" s="10">
        <v>29.424999</v>
      </c>
      <c r="E198" s="10">
        <v>31.65</v>
      </c>
      <c r="F198" s="10">
        <v>20.589307999999999</v>
      </c>
      <c r="G198" s="6">
        <f t="shared" si="45"/>
        <v>5.2369054873358252E-2</v>
      </c>
    </row>
    <row r="199" spans="1:7">
      <c r="A199" s="151">
        <v>38899</v>
      </c>
      <c r="B199" s="10">
        <v>30.325001</v>
      </c>
      <c r="C199" s="10">
        <v>31.5</v>
      </c>
      <c r="D199" s="10">
        <v>23.5</v>
      </c>
      <c r="E199" s="10">
        <v>30.075001</v>
      </c>
      <c r="F199" s="10">
        <v>19.564722</v>
      </c>
      <c r="G199" s="6">
        <f t="shared" si="45"/>
        <v>3.3294703873343367E-3</v>
      </c>
    </row>
    <row r="200" spans="1:7">
      <c r="A200" s="151">
        <v>38869</v>
      </c>
      <c r="B200" s="10">
        <v>43.549999</v>
      </c>
      <c r="C200" s="10">
        <v>44.799999</v>
      </c>
      <c r="D200" s="10">
        <v>25.725000000000001</v>
      </c>
      <c r="E200" s="10">
        <v>30.85</v>
      </c>
      <c r="F200" s="10">
        <v>19.499797999999998</v>
      </c>
      <c r="G200" s="6">
        <f t="shared" si="45"/>
        <v>-0.27836243567413405</v>
      </c>
    </row>
    <row r="201" spans="1:7">
      <c r="A201" s="151">
        <v>38838</v>
      </c>
      <c r="B201" s="10">
        <v>45.299999</v>
      </c>
      <c r="C201" s="10">
        <v>56.924999</v>
      </c>
      <c r="D201" s="10">
        <v>35.025002000000001</v>
      </c>
      <c r="E201" s="10">
        <v>42.75</v>
      </c>
      <c r="F201" s="10">
        <v>27.021595000000001</v>
      </c>
      <c r="G201" s="6">
        <f t="shared" si="45"/>
        <v>-0.1208226492910871</v>
      </c>
    </row>
    <row r="202" spans="1:7">
      <c r="A202" s="151">
        <v>38808</v>
      </c>
      <c r="B202" s="10">
        <v>48</v>
      </c>
      <c r="C202" s="10">
        <v>53.700001</v>
      </c>
      <c r="D202" s="10">
        <v>43.5</v>
      </c>
      <c r="E202" s="10">
        <v>48.625</v>
      </c>
      <c r="F202" s="10">
        <v>30.73509</v>
      </c>
      <c r="G202" s="6">
        <f t="shared" si="45"/>
        <v>1.4605958537053095E-2</v>
      </c>
    </row>
    <row r="203" spans="1:7">
      <c r="A203" s="151">
        <v>38777</v>
      </c>
      <c r="B203" s="10">
        <v>39.950001</v>
      </c>
      <c r="C203" s="10">
        <v>50.599997999999999</v>
      </c>
      <c r="D203" s="10">
        <v>37.650002000000001</v>
      </c>
      <c r="E203" s="10">
        <v>47.924999</v>
      </c>
      <c r="F203" s="10">
        <v>30.292636999999999</v>
      </c>
      <c r="G203" s="6">
        <f t="shared" si="45"/>
        <v>0.18406462796226369</v>
      </c>
    </row>
    <row r="204" spans="1:7">
      <c r="A204" s="151">
        <v>38749</v>
      </c>
      <c r="B204" s="10">
        <v>34.650002000000001</v>
      </c>
      <c r="C204" s="10">
        <v>44.950001</v>
      </c>
      <c r="D204" s="10">
        <v>32</v>
      </c>
      <c r="E204" s="10">
        <v>40.474997999999999</v>
      </c>
      <c r="F204" s="10">
        <v>25.583601000000002</v>
      </c>
      <c r="G204" s="6">
        <f t="shared" si="45"/>
        <v>0.16558695717740587</v>
      </c>
    </row>
    <row r="205" spans="1:7">
      <c r="A205" s="151">
        <v>38718</v>
      </c>
      <c r="B205" s="10">
        <v>36.299999</v>
      </c>
      <c r="C205" s="10">
        <v>38.5</v>
      </c>
      <c r="D205" s="10">
        <v>34.049999</v>
      </c>
      <c r="E205" s="10">
        <v>34.724997999999999</v>
      </c>
      <c r="F205" s="10">
        <v>21.949114000000002</v>
      </c>
      <c r="G205" s="6">
        <f t="shared" si="45"/>
        <v>-2.4030842403876596E-2</v>
      </c>
    </row>
    <row r="206" spans="1:7">
      <c r="A206" s="151">
        <v>38687</v>
      </c>
      <c r="B206" s="10">
        <v>29.700001</v>
      </c>
      <c r="C206" s="10">
        <v>36</v>
      </c>
      <c r="D206" s="10">
        <v>29.43</v>
      </c>
      <c r="E206" s="10">
        <v>35.580002</v>
      </c>
      <c r="F206" s="10">
        <v>22.489557000000001</v>
      </c>
      <c r="G206" s="6">
        <f t="shared" si="45"/>
        <v>0.19375972503387356</v>
      </c>
    </row>
    <row r="207" spans="1:7">
      <c r="A207" s="151">
        <v>38657</v>
      </c>
      <c r="B207" s="10">
        <v>26.790001</v>
      </c>
      <c r="C207" s="10">
        <v>30.4</v>
      </c>
      <c r="D207" s="10">
        <v>26.024999999999999</v>
      </c>
      <c r="E207" s="10">
        <v>29.805</v>
      </c>
      <c r="F207" s="10">
        <v>18.839265999999999</v>
      </c>
      <c r="G207" s="6">
        <f t="shared" si="45"/>
        <v>0.14502501284252714</v>
      </c>
    </row>
    <row r="208" spans="1:7">
      <c r="A208" s="151">
        <v>38626</v>
      </c>
      <c r="B208" s="10">
        <v>23.5</v>
      </c>
      <c r="C208" s="10">
        <v>27.889999</v>
      </c>
      <c r="D208" s="10">
        <v>23</v>
      </c>
      <c r="E208" s="10">
        <v>26.030000999999999</v>
      </c>
      <c r="F208" s="10">
        <v>16.453147999999999</v>
      </c>
      <c r="G208" s="6">
        <f t="shared" si="45"/>
        <v>0.11191789141769702</v>
      </c>
    </row>
    <row r="209" spans="1:7">
      <c r="A209" s="151">
        <v>38596</v>
      </c>
      <c r="B209" s="10">
        <v>25.1</v>
      </c>
      <c r="C209" s="10">
        <v>27.799999</v>
      </c>
      <c r="D209" s="10">
        <v>22.5</v>
      </c>
      <c r="E209" s="10">
        <v>23.41</v>
      </c>
      <c r="F209" s="10">
        <v>14.797089</v>
      </c>
      <c r="G209" s="6">
        <f t="shared" si="45"/>
        <v>-7.5434459463259204E-2</v>
      </c>
    </row>
    <row r="210" spans="1:7">
      <c r="A210" s="151">
        <v>38565</v>
      </c>
      <c r="B210" s="10">
        <v>22.004999000000002</v>
      </c>
      <c r="C210" s="10">
        <v>27</v>
      </c>
      <c r="D210" s="10">
        <v>21.5</v>
      </c>
      <c r="E210" s="10">
        <v>25.32</v>
      </c>
      <c r="F210" s="10">
        <v>16.004370000000002</v>
      </c>
      <c r="G210" s="6">
        <f t="shared" si="45"/>
        <v>0.10086962838048388</v>
      </c>
    </row>
    <row r="211" spans="1:7">
      <c r="A211" s="151">
        <v>38534</v>
      </c>
      <c r="B211" s="10">
        <v>19.100000000000001</v>
      </c>
      <c r="C211" s="10">
        <v>26.385000000000002</v>
      </c>
      <c r="D211" s="10">
        <v>19.100000000000001</v>
      </c>
      <c r="E211" s="10">
        <v>23</v>
      </c>
      <c r="F211" s="10">
        <v>14.537934</v>
      </c>
      <c r="G211" s="6">
        <f t="shared" si="45"/>
        <v>0.20230020972120938</v>
      </c>
    </row>
    <row r="212" spans="1:7">
      <c r="A212" s="151">
        <v>38504</v>
      </c>
      <c r="B212" s="10">
        <v>21</v>
      </c>
      <c r="C212" s="10">
        <v>21.690000999999999</v>
      </c>
      <c r="D212" s="10">
        <v>7.5</v>
      </c>
      <c r="E212" s="10">
        <v>19.129999000000002</v>
      </c>
      <c r="F212" s="10">
        <v>12.091767000000001</v>
      </c>
      <c r="G212" s="6">
        <f t="shared" si="45"/>
        <v>-0.10314126153340877</v>
      </c>
    </row>
    <row r="213" spans="1:7">
      <c r="A213" s="151">
        <v>38473</v>
      </c>
      <c r="B213" s="10">
        <v>20.6</v>
      </c>
      <c r="C213" s="10">
        <v>22.5</v>
      </c>
      <c r="D213" s="10">
        <v>20.004999000000002</v>
      </c>
      <c r="E213" s="10">
        <v>21.33</v>
      </c>
      <c r="F213" s="10">
        <v>13.482354000000001</v>
      </c>
      <c r="G213" s="6">
        <f t="shared" si="45"/>
        <v>2.4988162997576124E-2</v>
      </c>
    </row>
    <row r="214" spans="1:7">
      <c r="A214" s="151">
        <v>38443</v>
      </c>
      <c r="B214" s="10">
        <v>21</v>
      </c>
      <c r="C214" s="10">
        <v>22.5</v>
      </c>
      <c r="D214" s="10">
        <v>18.110001</v>
      </c>
      <c r="E214" s="10">
        <v>20.809999000000001</v>
      </c>
      <c r="F214" s="10">
        <v>13.153668</v>
      </c>
      <c r="G214" s="6">
        <f t="shared" si="45"/>
        <v>9.7038876883714254E-3</v>
      </c>
    </row>
    <row r="215" spans="1:7">
      <c r="A215" s="151">
        <v>38412</v>
      </c>
      <c r="B215" s="10">
        <v>20.100000000000001</v>
      </c>
      <c r="C215" s="10">
        <v>21.9</v>
      </c>
      <c r="D215" s="10">
        <v>20</v>
      </c>
      <c r="E215" s="10">
        <v>20.610001</v>
      </c>
      <c r="F215" s="10">
        <v>13.027253</v>
      </c>
      <c r="G215" s="6">
        <f t="shared" si="45"/>
        <v>5.3657567204119577E-3</v>
      </c>
    </row>
    <row r="216" spans="1:7">
      <c r="A216" s="151">
        <v>38384</v>
      </c>
      <c r="B216" s="10">
        <v>17.389999</v>
      </c>
      <c r="C216" s="10">
        <v>20.965</v>
      </c>
      <c r="D216" s="10">
        <v>17.260000000000002</v>
      </c>
      <c r="E216" s="10">
        <v>20.5</v>
      </c>
      <c r="F216" s="10">
        <v>12.957725</v>
      </c>
      <c r="G216" s="6">
        <f t="shared" si="45"/>
        <v>0.15395480137939624</v>
      </c>
    </row>
    <row r="217" spans="1:7">
      <c r="A217" s="151">
        <v>38353</v>
      </c>
      <c r="B217" s="10">
        <v>17.290001</v>
      </c>
      <c r="C217" s="10">
        <v>18.995000999999998</v>
      </c>
      <c r="D217" s="10">
        <v>15.6</v>
      </c>
      <c r="E217" s="10">
        <v>17.764999</v>
      </c>
      <c r="F217" s="10">
        <v>11.228971</v>
      </c>
      <c r="G217" s="6">
        <f t="shared" si="45"/>
        <v>5.2117179303005363E-2</v>
      </c>
    </row>
    <row r="218" spans="1:7">
      <c r="A218" s="151">
        <v>38322</v>
      </c>
      <c r="B218" s="10">
        <v>15.8</v>
      </c>
      <c r="C218" s="10">
        <v>17.200001</v>
      </c>
      <c r="D218" s="10">
        <v>15</v>
      </c>
      <c r="E218" s="10">
        <v>16.885000000000002</v>
      </c>
      <c r="F218" s="10">
        <v>10.672738000000001</v>
      </c>
      <c r="G218" s="6">
        <f t="shared" si="45"/>
        <v>6.9347585773089915E-2</v>
      </c>
    </row>
    <row r="219" spans="1:7">
      <c r="A219" s="151">
        <v>38292</v>
      </c>
      <c r="B219" s="10">
        <v>14.3</v>
      </c>
      <c r="C219" s="10">
        <v>17.5</v>
      </c>
      <c r="D219" s="10">
        <v>14.275</v>
      </c>
      <c r="E219" s="10">
        <v>15.79</v>
      </c>
      <c r="F219" s="10">
        <v>9.9806069999999991</v>
      </c>
      <c r="G219" s="6">
        <f t="shared" si="45"/>
        <v>0.1210504749797425</v>
      </c>
    </row>
    <row r="220" spans="1:7">
      <c r="A220" s="151">
        <v>38261</v>
      </c>
      <c r="B220" s="10">
        <v>15.2</v>
      </c>
      <c r="C220" s="10">
        <v>16.190000999999999</v>
      </c>
      <c r="D220" s="10">
        <v>13.82</v>
      </c>
      <c r="E220" s="10">
        <v>14.085000000000001</v>
      </c>
      <c r="F220" s="10">
        <v>8.9029059999999998</v>
      </c>
      <c r="G220" s="6">
        <f t="shared" si="45"/>
        <v>-6.7218302034403349E-2</v>
      </c>
    </row>
    <row r="221" spans="1:7">
      <c r="A221" s="151">
        <v>38231</v>
      </c>
      <c r="B221" s="10">
        <v>13.52</v>
      </c>
      <c r="C221" s="10">
        <v>15.89</v>
      </c>
      <c r="D221" s="10">
        <v>12.9</v>
      </c>
      <c r="E221" s="10">
        <v>15.1</v>
      </c>
      <c r="F221" s="10">
        <v>9.5444689999999994</v>
      </c>
      <c r="G221" s="6">
        <f t="shared" si="45"/>
        <v>0.12855013500788195</v>
      </c>
    </row>
    <row r="222" spans="1:7">
      <c r="A222" s="151">
        <v>38200</v>
      </c>
      <c r="B222" s="10">
        <v>12.295</v>
      </c>
      <c r="C222" s="10">
        <v>13.64</v>
      </c>
      <c r="D222" s="10">
        <v>11.6</v>
      </c>
      <c r="E222" s="10">
        <v>13.38</v>
      </c>
      <c r="F222" s="10">
        <v>8.4572839999999996</v>
      </c>
      <c r="G222" s="6">
        <f t="shared" si="45"/>
        <v>0.1310230941891142</v>
      </c>
    </row>
    <row r="223" spans="1:7">
      <c r="A223" s="151">
        <v>38169</v>
      </c>
      <c r="B223" s="10">
        <v>11.5</v>
      </c>
      <c r="C223" s="10">
        <v>14</v>
      </c>
      <c r="D223" s="10">
        <v>11.4</v>
      </c>
      <c r="E223" s="10">
        <v>11.83</v>
      </c>
      <c r="F223" s="10">
        <v>7.4775520000000002</v>
      </c>
      <c r="G223" s="6">
        <f t="shared" si="45"/>
        <v>1.7633828294827819E-2</v>
      </c>
    </row>
    <row r="224" spans="1:7">
      <c r="A224" s="151">
        <v>38139</v>
      </c>
      <c r="B224" s="10">
        <v>12.9</v>
      </c>
      <c r="C224" s="10">
        <v>13.295</v>
      </c>
      <c r="D224" s="10">
        <v>10.855</v>
      </c>
      <c r="E224" s="10">
        <v>11.625</v>
      </c>
      <c r="F224" s="10">
        <v>7.3479789999999996</v>
      </c>
      <c r="G224" s="6">
        <f t="shared" si="45"/>
        <v>-6.9999918998128394E-2</v>
      </c>
    </row>
    <row r="225" spans="1:7">
      <c r="A225" s="151">
        <v>38108</v>
      </c>
      <c r="B225" s="10">
        <v>12.5</v>
      </c>
      <c r="C225" s="10">
        <v>14.1</v>
      </c>
      <c r="D225" s="10">
        <v>10.6</v>
      </c>
      <c r="E225" s="10">
        <v>12.5</v>
      </c>
      <c r="F225" s="10">
        <v>7.901052</v>
      </c>
      <c r="G225" s="6">
        <f t="shared" si="45"/>
        <v>-2.3818740110531093E-2</v>
      </c>
    </row>
    <row r="226" spans="1:7">
      <c r="A226" s="151">
        <v>38078</v>
      </c>
      <c r="B226" s="10">
        <v>10.99</v>
      </c>
      <c r="C226" s="10">
        <v>14.3</v>
      </c>
      <c r="D226" s="10">
        <v>10.8</v>
      </c>
      <c r="E226" s="10">
        <v>12.805</v>
      </c>
      <c r="F226" s="10">
        <v>8.0938370000000006</v>
      </c>
      <c r="G226" s="6">
        <f t="shared" si="45"/>
        <v>0.18509945357527585</v>
      </c>
    </row>
    <row r="227" spans="1:7">
      <c r="A227" s="151">
        <v>38047</v>
      </c>
      <c r="B227" s="10">
        <v>12.6</v>
      </c>
      <c r="C227" s="10">
        <v>13.96</v>
      </c>
      <c r="D227" s="10">
        <v>10.3</v>
      </c>
      <c r="E227" s="10">
        <v>10.805</v>
      </c>
      <c r="F227" s="10">
        <v>6.829669</v>
      </c>
      <c r="G227" s="6">
        <f t="shared" si="45"/>
        <v>-0.21418156898381957</v>
      </c>
    </row>
    <row r="228" spans="1:7">
      <c r="A228" s="151">
        <v>38018</v>
      </c>
      <c r="B228" s="10">
        <v>15</v>
      </c>
      <c r="C228" s="10">
        <v>17.225000000000001</v>
      </c>
      <c r="D228" s="10">
        <v>12.17</v>
      </c>
      <c r="E228" s="10">
        <v>13.75</v>
      </c>
      <c r="F228" s="10">
        <v>8.6911539999999992</v>
      </c>
      <c r="G228" s="6">
        <f t="shared" si="45"/>
        <v>-8.333343880454723E-2</v>
      </c>
    </row>
    <row r="229" spans="1:7">
      <c r="A229" s="151">
        <v>37987</v>
      </c>
      <c r="B229" s="10">
        <v>17</v>
      </c>
      <c r="C229" s="10">
        <v>18</v>
      </c>
      <c r="D229" s="10">
        <v>12.5</v>
      </c>
      <c r="E229" s="10">
        <v>15</v>
      </c>
      <c r="F229" s="10">
        <v>9.4812600000000007</v>
      </c>
      <c r="G229" s="6">
        <f t="shared" si="45"/>
        <v>-0.10394289283456548</v>
      </c>
    </row>
    <row r="230" spans="1:7">
      <c r="A230" s="151">
        <v>37956</v>
      </c>
      <c r="B230" s="10">
        <v>11.61</v>
      </c>
      <c r="C230" s="10">
        <v>19.48</v>
      </c>
      <c r="D230" s="10">
        <v>11.01</v>
      </c>
      <c r="E230" s="10">
        <v>16.739999999999998</v>
      </c>
      <c r="F230" s="10">
        <v>10.581089</v>
      </c>
      <c r="G230" s="6">
        <f t="shared" si="45"/>
        <v>0.43938128210642802</v>
      </c>
    </row>
    <row r="231" spans="1:7">
      <c r="A231" s="151">
        <v>37926</v>
      </c>
      <c r="B231" s="10">
        <v>9.25</v>
      </c>
      <c r="C231" s="10">
        <v>12.145</v>
      </c>
      <c r="D231" s="10">
        <v>9.1</v>
      </c>
      <c r="E231" s="10">
        <v>11.63</v>
      </c>
      <c r="F231" s="10">
        <v>7.3511369999999996</v>
      </c>
      <c r="G231" s="6">
        <f t="shared" si="45"/>
        <v>0.25458419867765081</v>
      </c>
    </row>
    <row r="232" spans="1:7">
      <c r="A232" s="151">
        <v>37895</v>
      </c>
      <c r="B232" s="10">
        <v>7.5</v>
      </c>
      <c r="C232" s="10">
        <v>10.199999999999999</v>
      </c>
      <c r="D232" s="10">
        <v>7.4</v>
      </c>
      <c r="E232" s="10">
        <v>9.27</v>
      </c>
      <c r="F232" s="10">
        <v>5.8594210000000002</v>
      </c>
      <c r="G232" s="6">
        <f t="shared" si="45"/>
        <v>0.1884618161815533</v>
      </c>
    </row>
    <row r="233" spans="1:7">
      <c r="A233" s="151">
        <v>37865</v>
      </c>
      <c r="B233" s="10">
        <v>7.35</v>
      </c>
      <c r="C233" s="10">
        <v>8.3000000000000007</v>
      </c>
      <c r="D233" s="10">
        <v>7.06</v>
      </c>
      <c r="E233" s="10">
        <v>7.8</v>
      </c>
      <c r="F233" s="10">
        <v>4.930256</v>
      </c>
      <c r="G233" s="6">
        <f t="shared" si="45"/>
        <v>7.5862243538560734E-2</v>
      </c>
    </row>
    <row r="234" spans="1:7">
      <c r="A234" s="151">
        <v>37834</v>
      </c>
      <c r="B234" s="10">
        <v>6.81</v>
      </c>
      <c r="C234" s="10">
        <v>8.0500000000000007</v>
      </c>
      <c r="D234" s="10">
        <v>6.81</v>
      </c>
      <c r="E234" s="10">
        <v>7.25</v>
      </c>
      <c r="F234" s="10">
        <v>4.5826089999999997</v>
      </c>
      <c r="G234" s="6">
        <f t="shared" si="45"/>
        <v>4.9203677357108906E-2</v>
      </c>
    </row>
    <row r="235" spans="1:7">
      <c r="A235" s="151">
        <v>37803</v>
      </c>
      <c r="B235" s="10">
        <v>7</v>
      </c>
      <c r="C235" s="10">
        <v>8.86</v>
      </c>
      <c r="D235" s="10">
        <v>6.6</v>
      </c>
      <c r="E235" s="10">
        <v>6.91</v>
      </c>
      <c r="F235" s="10">
        <v>4.3677020000000004</v>
      </c>
      <c r="G235" s="6">
        <f t="shared" si="45"/>
        <v>-4.3598504688613919E-2</v>
      </c>
    </row>
    <row r="236" spans="1:7">
      <c r="A236" s="151">
        <v>37773</v>
      </c>
      <c r="B236" s="10">
        <v>7.95</v>
      </c>
      <c r="C236" s="10">
        <v>8.3000000000000007</v>
      </c>
      <c r="D236" s="10">
        <v>6.8150000000000004</v>
      </c>
      <c r="E236" s="10">
        <v>7.2249999999999996</v>
      </c>
      <c r="F236" s="10">
        <v>4.566808</v>
      </c>
      <c r="G236" s="6">
        <f t="shared" si="45"/>
        <v>-8.4283727176060461E-2</v>
      </c>
    </row>
    <row r="237" spans="1:7">
      <c r="A237" s="151">
        <v>37742</v>
      </c>
      <c r="B237" s="10">
        <v>6.38</v>
      </c>
      <c r="C237" s="10">
        <v>7.9950000000000001</v>
      </c>
      <c r="D237" s="10">
        <v>6.2</v>
      </c>
      <c r="E237" s="10">
        <v>7.89</v>
      </c>
      <c r="F237" s="10">
        <v>4.9871429999999997</v>
      </c>
      <c r="G237" s="6">
        <f t="shared" si="45"/>
        <v>0.23667653764303695</v>
      </c>
    </row>
    <row r="238" spans="1:7">
      <c r="A238" s="151">
        <v>37712</v>
      </c>
      <c r="B238" s="10">
        <v>6.375</v>
      </c>
      <c r="C238" s="10">
        <v>6.96</v>
      </c>
      <c r="D238" s="10">
        <v>6.1550000000000002</v>
      </c>
      <c r="E238" s="10">
        <v>6.38</v>
      </c>
      <c r="F238" s="10">
        <v>4.0326979999999999</v>
      </c>
      <c r="G238" s="6">
        <f t="shared" si="45"/>
        <v>1.9984131267851993E-2</v>
      </c>
    </row>
    <row r="239" spans="1:7">
      <c r="A239" s="151">
        <v>37681</v>
      </c>
      <c r="B239" s="10">
        <v>6.7850000000000001</v>
      </c>
      <c r="C239" s="10">
        <v>7.5</v>
      </c>
      <c r="D239" s="10">
        <v>6.25</v>
      </c>
      <c r="E239" s="10">
        <v>6.2549999999999999</v>
      </c>
      <c r="F239" s="10">
        <v>3.953687</v>
      </c>
      <c r="G239" s="6">
        <f t="shared" si="45"/>
        <v>-3.7691923128035966E-2</v>
      </c>
    </row>
    <row r="240" spans="1:7">
      <c r="A240" s="151">
        <v>37653</v>
      </c>
      <c r="B240" s="10">
        <v>6.2</v>
      </c>
      <c r="C240" s="10">
        <v>6.55</v>
      </c>
      <c r="D240" s="10">
        <v>6.16</v>
      </c>
      <c r="E240" s="10">
        <v>6.5</v>
      </c>
      <c r="F240" s="10">
        <v>4.1085459999999996</v>
      </c>
      <c r="G240" s="6">
        <f t="shared" si="45"/>
        <v>6.4701290947199008E-2</v>
      </c>
    </row>
    <row r="241" spans="1:7">
      <c r="A241" s="151">
        <v>37622</v>
      </c>
      <c r="B241" s="10">
        <v>6.41</v>
      </c>
      <c r="C241" s="10">
        <v>6.7</v>
      </c>
      <c r="D241" s="10">
        <v>6.1050000000000004</v>
      </c>
      <c r="E241" s="10">
        <v>6.1050000000000004</v>
      </c>
      <c r="F241" s="10">
        <v>3.8588719999999999</v>
      </c>
      <c r="G241" s="6"/>
    </row>
    <row r="242" spans="1:7">
      <c r="A242" s="151"/>
      <c r="B242" s="10"/>
      <c r="C242" s="10"/>
      <c r="D242" s="10"/>
      <c r="E242" s="10"/>
      <c r="F242" s="10"/>
      <c r="G242" s="6"/>
    </row>
    <row r="243" spans="1:7">
      <c r="A243" s="151"/>
      <c r="B243" s="10"/>
      <c r="C243" s="10"/>
      <c r="D243" s="10"/>
      <c r="E243" s="10"/>
      <c r="F243" s="10"/>
      <c r="G243" s="6"/>
    </row>
    <row r="244" spans="1:7">
      <c r="A244" s="151"/>
      <c r="B244" s="10"/>
      <c r="C244" s="10"/>
      <c r="D244" s="10"/>
      <c r="E244" s="10"/>
      <c r="F244" s="10"/>
      <c r="G244" s="6"/>
    </row>
    <row r="245" spans="1:7">
      <c r="A245" s="151"/>
      <c r="B245" s="10"/>
      <c r="C245" s="10"/>
      <c r="D245" s="10"/>
      <c r="E245" s="10"/>
      <c r="F245" s="10"/>
      <c r="G245" s="6"/>
    </row>
    <row r="246" spans="1:7">
      <c r="A246" s="151"/>
      <c r="B246" s="10"/>
      <c r="C246" s="10"/>
      <c r="D246" s="10"/>
      <c r="E246" s="10"/>
      <c r="F246" s="10"/>
      <c r="G246" s="6"/>
    </row>
    <row r="247" spans="1:7">
      <c r="A247" s="151"/>
      <c r="B247" s="10"/>
      <c r="C247" s="10"/>
      <c r="D247" s="10"/>
      <c r="E247" s="10"/>
      <c r="F247" s="10"/>
      <c r="G247" s="6"/>
    </row>
    <row r="248" spans="1:7">
      <c r="A248" s="151"/>
      <c r="B248" s="10"/>
      <c r="C248" s="10"/>
      <c r="D248" s="10"/>
      <c r="E248" s="10"/>
      <c r="F248" s="10"/>
      <c r="G248" s="6"/>
    </row>
    <row r="249" spans="1:7">
      <c r="A249" s="151"/>
      <c r="B249" s="10"/>
      <c r="C249" s="10"/>
      <c r="D249" s="10"/>
      <c r="E249" s="10"/>
      <c r="F249" s="10"/>
      <c r="G249" s="6"/>
    </row>
    <row r="250" spans="1:7">
      <c r="A250" s="151"/>
      <c r="B250" s="10"/>
      <c r="C250" s="10"/>
      <c r="D250" s="10"/>
      <c r="E250" s="10"/>
      <c r="F250" s="10"/>
      <c r="G250" s="6"/>
    </row>
    <row r="251" spans="1:7">
      <c r="A251" s="151"/>
      <c r="B251" s="10"/>
      <c r="C251" s="10"/>
      <c r="D251" s="10"/>
      <c r="E251" s="10"/>
      <c r="F251" s="10"/>
      <c r="G251" s="6"/>
    </row>
    <row r="252" spans="1:7">
      <c r="A252" s="151"/>
      <c r="B252" s="10"/>
      <c r="C252" s="10"/>
      <c r="D252" s="10"/>
      <c r="E252" s="10"/>
      <c r="F252" s="10"/>
      <c r="G252" s="6"/>
    </row>
    <row r="253" spans="1:7">
      <c r="A253" s="151"/>
      <c r="B253" s="10"/>
      <c r="C253" s="10"/>
      <c r="D253" s="10"/>
      <c r="E253" s="10"/>
      <c r="F253" s="10"/>
      <c r="G253" s="6"/>
    </row>
    <row r="254" spans="1:7">
      <c r="A254" s="151"/>
      <c r="B254" s="10"/>
      <c r="C254" s="10"/>
      <c r="D254" s="10"/>
      <c r="E254" s="10"/>
      <c r="F254" s="10"/>
      <c r="G254" s="6"/>
    </row>
    <row r="255" spans="1:7">
      <c r="A255" s="151"/>
      <c r="B255" s="10"/>
      <c r="C255" s="10"/>
      <c r="D255" s="10"/>
      <c r="E255" s="10"/>
      <c r="F255" s="10"/>
      <c r="G255" s="6"/>
    </row>
    <row r="256" spans="1:7">
      <c r="A256" s="151"/>
      <c r="B256" s="10"/>
      <c r="C256" s="10"/>
      <c r="D256" s="10"/>
      <c r="E256" s="10"/>
      <c r="F256" s="10"/>
      <c r="G256" s="6"/>
    </row>
    <row r="257" spans="1:7">
      <c r="A257" s="151"/>
      <c r="B257" s="10"/>
      <c r="C257" s="10"/>
      <c r="D257" s="10"/>
      <c r="E257" s="10"/>
      <c r="F257" s="10"/>
      <c r="G257" s="6"/>
    </row>
    <row r="258" spans="1:7">
      <c r="A258" s="151"/>
      <c r="B258" s="10"/>
      <c r="C258" s="10"/>
      <c r="D258" s="10"/>
      <c r="E258" s="10"/>
      <c r="F258" s="10"/>
      <c r="G258" s="6"/>
    </row>
    <row r="259" spans="1:7">
      <c r="A259" s="151"/>
      <c r="B259" s="10"/>
      <c r="C259" s="10"/>
      <c r="D259" s="10"/>
      <c r="E259" s="10"/>
      <c r="F259" s="10"/>
      <c r="G259" s="6"/>
    </row>
    <row r="260" spans="1:7">
      <c r="A260" s="151"/>
      <c r="B260" s="10"/>
      <c r="C260" s="10"/>
      <c r="D260" s="10"/>
      <c r="E260" s="10"/>
      <c r="F260" s="10"/>
      <c r="G260" s="6"/>
    </row>
    <row r="261" spans="1:7">
      <c r="A261" s="151"/>
      <c r="B261" s="10"/>
      <c r="C261" s="10"/>
      <c r="D261" s="10"/>
      <c r="E261" s="10"/>
      <c r="F261" s="10"/>
      <c r="G261" s="6"/>
    </row>
    <row r="262" spans="1:7">
      <c r="A262" s="151"/>
      <c r="B262" s="10"/>
      <c r="C262" s="10"/>
      <c r="D262" s="10"/>
      <c r="E262" s="10"/>
      <c r="F262" s="10"/>
      <c r="G262" s="6"/>
    </row>
    <row r="263" spans="1:7">
      <c r="A263" s="151"/>
      <c r="B263" s="10"/>
      <c r="C263" s="10"/>
      <c r="D263" s="10"/>
      <c r="E263" s="10"/>
      <c r="F263" s="10"/>
      <c r="G263" s="6"/>
    </row>
  </sheetData>
  <pageMargins left="0.7" right="0.7" top="0.75" bottom="0.75" header="0.3" footer="0.3"/>
  <ignoredErrors>
    <ignoredError sqref="H10:H130" formulaRange="1"/>
    <ignoredError xmlns:x16r3="http://schemas.microsoft.com/office/spreadsheetml/2018/08/main" sqref="X2 X172" x16r3:misleadingForma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54EB-9925-AB4C-AE40-C3AECC20C3FF}">
  <dimension ref="A2:F36"/>
  <sheetViews>
    <sheetView showGridLines="0" zoomScale="160" zoomScaleNormal="160" workbookViewId="0">
      <selection activeCell="A2" sqref="A2"/>
    </sheetView>
  </sheetViews>
  <sheetFormatPr baseColWidth="10" defaultRowHeight="16"/>
  <cols>
    <col min="1" max="1" width="62" customWidth="1"/>
    <col min="2" max="3" width="10.83203125" style="1"/>
    <col min="4" max="4" width="11.83203125" customWidth="1"/>
  </cols>
  <sheetData>
    <row r="2" spans="1:3" ht="19">
      <c r="A2" s="12" t="s">
        <v>0</v>
      </c>
    </row>
    <row r="4" spans="1:3">
      <c r="A4" s="16"/>
      <c r="B4" s="130"/>
      <c r="C4" s="130"/>
    </row>
    <row r="5" spans="1:3">
      <c r="A5" s="17"/>
      <c r="B5" s="141" t="s">
        <v>1</v>
      </c>
      <c r="C5" s="141" t="s">
        <v>2</v>
      </c>
    </row>
    <row r="6" spans="1:3">
      <c r="A6" s="21"/>
      <c r="B6" s="131"/>
      <c r="C6" s="131"/>
    </row>
    <row r="7" spans="1:3">
      <c r="A7" s="16"/>
      <c r="B7" s="130"/>
      <c r="C7" s="130"/>
    </row>
    <row r="8" spans="1:3">
      <c r="A8" s="17" t="s">
        <v>28</v>
      </c>
      <c r="B8" s="133">
        <v>0.03</v>
      </c>
      <c r="C8" s="139">
        <v>6.6000000000000003E-2</v>
      </c>
    </row>
    <row r="9" spans="1:3">
      <c r="A9" s="17"/>
      <c r="B9" s="18"/>
      <c r="C9" s="18"/>
    </row>
    <row r="10" spans="1:3">
      <c r="A10" s="17" t="s">
        <v>3</v>
      </c>
      <c r="B10" s="139">
        <v>3.1E-2</v>
      </c>
      <c r="C10" s="139">
        <v>5.3999999999999999E-2</v>
      </c>
    </row>
    <row r="11" spans="1:3">
      <c r="A11" s="17"/>
      <c r="B11" s="18"/>
      <c r="C11" s="18"/>
    </row>
    <row r="12" spans="1:3">
      <c r="A12" s="17" t="s">
        <v>4</v>
      </c>
      <c r="B12" s="18">
        <f>C12</f>
        <v>0.74</v>
      </c>
      <c r="C12" s="18">
        <v>0.74</v>
      </c>
    </row>
    <row r="13" spans="1:3">
      <c r="A13" s="17"/>
      <c r="B13" s="18"/>
      <c r="C13" s="18"/>
    </row>
    <row r="14" spans="1:3">
      <c r="A14" s="17" t="s">
        <v>151</v>
      </c>
      <c r="B14" s="18"/>
      <c r="C14" s="133">
        <v>0.2</v>
      </c>
    </row>
    <row r="15" spans="1:3">
      <c r="A15" s="17"/>
      <c r="B15" s="18"/>
      <c r="C15" s="18"/>
    </row>
    <row r="16" spans="1:3">
      <c r="A16" s="17" t="s">
        <v>5</v>
      </c>
      <c r="B16" s="142">
        <v>1</v>
      </c>
      <c r="C16" s="142">
        <f>1/(1+C14)</f>
        <v>0.83333333333333337</v>
      </c>
    </row>
    <row r="17" spans="1:6">
      <c r="A17" s="17"/>
      <c r="B17" s="18"/>
      <c r="C17" s="18"/>
    </row>
    <row r="18" spans="1:6">
      <c r="A18" s="17" t="s">
        <v>6</v>
      </c>
      <c r="B18" s="18"/>
      <c r="C18" s="142">
        <f>1-C16</f>
        <v>0.16666666666666663</v>
      </c>
    </row>
    <row r="19" spans="1:6">
      <c r="A19" s="17"/>
      <c r="B19" s="18"/>
      <c r="C19" s="18"/>
    </row>
    <row r="20" spans="1:6">
      <c r="A20" s="17" t="s">
        <v>25</v>
      </c>
      <c r="B20" s="18"/>
      <c r="C20" s="133">
        <f>TIS</f>
        <v>0.3</v>
      </c>
    </row>
    <row r="21" spans="1:6">
      <c r="A21" s="17"/>
      <c r="B21" s="18"/>
      <c r="C21" s="18"/>
    </row>
    <row r="22" spans="1:6">
      <c r="A22" s="17" t="s">
        <v>26</v>
      </c>
      <c r="B22" s="19">
        <f>C22</f>
        <v>0.84359999999999991</v>
      </c>
      <c r="C22" s="19">
        <f>C12*(1+(1-C20)*C18/C16)</f>
        <v>0.84359999999999991</v>
      </c>
    </row>
    <row r="23" spans="1:6">
      <c r="A23" s="17"/>
      <c r="B23" s="18"/>
      <c r="C23" s="18"/>
    </row>
    <row r="24" spans="1:6" s="228" customFormat="1">
      <c r="A24" s="17" t="s">
        <v>7</v>
      </c>
      <c r="B24" s="230">
        <v>1.44E-2</v>
      </c>
      <c r="C24" s="227"/>
      <c r="D24"/>
      <c r="E24"/>
      <c r="F24"/>
    </row>
    <row r="25" spans="1:6">
      <c r="A25" s="17"/>
      <c r="B25" s="18"/>
      <c r="C25" s="18"/>
    </row>
    <row r="26" spans="1:6">
      <c r="A26" s="17" t="s">
        <v>27</v>
      </c>
      <c r="B26" s="139">
        <f>B8+B10*B22+B24</f>
        <v>7.0551599999999992E-2</v>
      </c>
      <c r="C26" s="139">
        <f>C8+C10*C22+C24</f>
        <v>0.1115544</v>
      </c>
    </row>
    <row r="27" spans="1:6">
      <c r="A27" s="17"/>
      <c r="B27" s="18"/>
      <c r="C27" s="18"/>
    </row>
    <row r="28" spans="1:6">
      <c r="A28" s="17" t="s">
        <v>179</v>
      </c>
      <c r="B28" s="18"/>
      <c r="C28" s="133">
        <v>0.03</v>
      </c>
    </row>
    <row r="29" spans="1:6">
      <c r="A29" s="17"/>
      <c r="B29" s="18"/>
      <c r="C29" s="18"/>
    </row>
    <row r="30" spans="1:6">
      <c r="A30" s="17" t="s">
        <v>29</v>
      </c>
      <c r="B30" s="18"/>
      <c r="C30" s="139">
        <f>C8+C28</f>
        <v>9.6000000000000002E-2</v>
      </c>
    </row>
    <row r="31" spans="1:6">
      <c r="A31" s="17"/>
      <c r="B31" s="18"/>
      <c r="C31" s="18"/>
    </row>
    <row r="32" spans="1:6">
      <c r="A32" s="17" t="s">
        <v>30</v>
      </c>
      <c r="B32" s="18"/>
      <c r="C32" s="139">
        <f>C30*(1-C20)</f>
        <v>6.7199999999999996E-2</v>
      </c>
    </row>
    <row r="33" spans="1:3">
      <c r="A33" s="17"/>
      <c r="B33" s="18"/>
      <c r="C33" s="18"/>
    </row>
    <row r="34" spans="1:3">
      <c r="A34" s="146" t="s">
        <v>31</v>
      </c>
      <c r="B34" s="140">
        <f>B26</f>
        <v>7.0551599999999992E-2</v>
      </c>
      <c r="C34" s="140">
        <f>C16*C26+C18*C32</f>
        <v>0.104162</v>
      </c>
    </row>
    <row r="35" spans="1:3">
      <c r="A35" s="21"/>
      <c r="B35" s="131"/>
      <c r="C35" s="131"/>
    </row>
    <row r="36" spans="1:3">
      <c r="B36" s="251" t="s">
        <v>223</v>
      </c>
      <c r="C36" s="251"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D3CE0-C2FE-BA47-B0D3-0193B8CB5BFF}">
  <dimension ref="A1:S151"/>
  <sheetViews>
    <sheetView showGridLines="0" zoomScale="110" zoomScaleNormal="110" workbookViewId="0">
      <selection activeCell="A2" sqref="A2"/>
    </sheetView>
  </sheetViews>
  <sheetFormatPr baseColWidth="10" defaultRowHeight="16"/>
  <cols>
    <col min="1" max="1" width="47.5" customWidth="1"/>
    <col min="2" max="12" width="14.83203125" customWidth="1"/>
    <col min="15" max="15" width="14.6640625" customWidth="1"/>
  </cols>
  <sheetData>
    <row r="1" spans="1:12" ht="20" thickBot="1">
      <c r="A1" s="23"/>
      <c r="B1" s="23"/>
      <c r="C1" s="23"/>
      <c r="D1" s="23"/>
      <c r="E1" s="23"/>
      <c r="F1" s="23"/>
      <c r="G1" s="23"/>
      <c r="H1" s="23"/>
      <c r="I1" s="23"/>
      <c r="J1" s="23"/>
      <c r="K1" s="23"/>
      <c r="L1" s="23"/>
    </row>
    <row r="2" spans="1:12" ht="31" thickTop="1" thickBot="1">
      <c r="A2" s="22" t="s">
        <v>39</v>
      </c>
      <c r="B2" s="23"/>
      <c r="C2" s="23"/>
      <c r="D2" s="159" t="s">
        <v>40</v>
      </c>
      <c r="E2" s="23"/>
      <c r="G2" s="23"/>
      <c r="H2" s="23"/>
      <c r="I2" s="23"/>
      <c r="J2" s="23"/>
      <c r="K2" s="23"/>
      <c r="L2" s="23"/>
    </row>
    <row r="3" spans="1:12" ht="20" thickTop="1">
      <c r="A3" s="23"/>
      <c r="B3" s="23"/>
      <c r="C3" s="23"/>
      <c r="D3" s="23"/>
      <c r="E3" s="23"/>
      <c r="F3" s="23"/>
      <c r="G3" s="23"/>
      <c r="H3" s="23"/>
      <c r="I3" s="23"/>
      <c r="J3" s="23" t="s">
        <v>41</v>
      </c>
      <c r="K3" s="23"/>
      <c r="L3" s="23"/>
    </row>
    <row r="4" spans="1:12" ht="19">
      <c r="A4" s="23"/>
      <c r="E4" s="26"/>
      <c r="F4" s="26"/>
      <c r="G4" s="26"/>
      <c r="H4" s="26"/>
      <c r="I4" s="26"/>
      <c r="J4" s="26"/>
      <c r="K4" s="26"/>
      <c r="L4" s="26"/>
    </row>
    <row r="5" spans="1:12" ht="21">
      <c r="A5" s="169" t="s">
        <v>152</v>
      </c>
      <c r="E5" s="26"/>
      <c r="F5" s="26"/>
      <c r="G5" s="32"/>
      <c r="H5" s="26"/>
      <c r="I5" s="26"/>
      <c r="J5" s="26"/>
      <c r="K5" s="26"/>
      <c r="L5" s="26"/>
    </row>
    <row r="6" spans="1:12" ht="19">
      <c r="A6" s="26"/>
      <c r="B6" s="26"/>
      <c r="C6" s="26"/>
      <c r="D6" s="26"/>
      <c r="E6" s="26"/>
      <c r="F6" s="26"/>
      <c r="G6" s="26"/>
      <c r="H6" s="26"/>
      <c r="I6" s="26"/>
      <c r="J6" s="26"/>
      <c r="K6" s="26"/>
      <c r="L6" s="26"/>
    </row>
    <row r="7" spans="1:12" ht="19">
      <c r="A7" s="33" t="s">
        <v>45</v>
      </c>
      <c r="B7" s="33">
        <v>0</v>
      </c>
      <c r="C7" s="33">
        <v>1</v>
      </c>
      <c r="D7" s="33">
        <f>C7+1</f>
        <v>2</v>
      </c>
      <c r="E7" s="33">
        <f t="shared" ref="E7:L7" si="0">D7+1</f>
        <v>3</v>
      </c>
      <c r="F7" s="33">
        <f t="shared" si="0"/>
        <v>4</v>
      </c>
      <c r="G7" s="33">
        <f t="shared" si="0"/>
        <v>5</v>
      </c>
      <c r="H7" s="33">
        <f t="shared" si="0"/>
        <v>6</v>
      </c>
      <c r="I7" s="33">
        <f t="shared" si="0"/>
        <v>7</v>
      </c>
      <c r="J7" s="33">
        <f t="shared" si="0"/>
        <v>8</v>
      </c>
      <c r="K7" s="33">
        <f t="shared" si="0"/>
        <v>9</v>
      </c>
      <c r="L7" s="33">
        <f t="shared" si="0"/>
        <v>10</v>
      </c>
    </row>
    <row r="8" spans="1:12" ht="19">
      <c r="A8" s="33" t="s">
        <v>46</v>
      </c>
      <c r="B8" s="33">
        <v>0</v>
      </c>
      <c r="C8" s="33">
        <f>Situation!F28</f>
        <v>200</v>
      </c>
      <c r="D8" s="33">
        <f>Situation!F29</f>
        <v>500</v>
      </c>
      <c r="E8" s="33">
        <f>Situation!F30</f>
        <v>800</v>
      </c>
      <c r="F8" s="33">
        <f>Situation!F31</f>
        <v>1000</v>
      </c>
      <c r="G8" s="33">
        <f>F8</f>
        <v>1000</v>
      </c>
      <c r="H8" s="33">
        <f t="shared" ref="H8:L8" si="1">G8</f>
        <v>1000</v>
      </c>
      <c r="I8" s="33">
        <f t="shared" si="1"/>
        <v>1000</v>
      </c>
      <c r="J8" s="33">
        <f t="shared" si="1"/>
        <v>1000</v>
      </c>
      <c r="K8" s="33">
        <f t="shared" si="1"/>
        <v>1000</v>
      </c>
      <c r="L8" s="33">
        <f t="shared" si="1"/>
        <v>1000</v>
      </c>
    </row>
    <row r="9" spans="1:12" ht="19">
      <c r="A9" s="89"/>
      <c r="B9" s="89"/>
      <c r="C9" s="89"/>
      <c r="D9" s="89"/>
      <c r="E9" s="89"/>
      <c r="F9" s="89"/>
      <c r="G9" s="89"/>
      <c r="H9" s="89"/>
      <c r="I9" s="89"/>
      <c r="J9" s="89"/>
      <c r="K9" s="89"/>
      <c r="L9" s="89"/>
    </row>
    <row r="10" spans="1:12" ht="19">
      <c r="A10" s="89"/>
      <c r="B10" s="26"/>
      <c r="C10" s="27" t="s">
        <v>159</v>
      </c>
      <c r="D10" s="26"/>
      <c r="E10" s="89"/>
      <c r="F10" s="89"/>
      <c r="G10" s="89"/>
      <c r="H10" s="89"/>
      <c r="I10" s="89"/>
      <c r="J10" s="89"/>
      <c r="K10" s="89"/>
      <c r="L10" s="89"/>
    </row>
    <row r="11" spans="1:12" ht="19">
      <c r="A11" s="89"/>
      <c r="B11" s="26"/>
      <c r="C11" s="26"/>
      <c r="D11" s="26"/>
      <c r="E11" s="89"/>
      <c r="F11" s="89"/>
      <c r="G11" s="89"/>
      <c r="H11" s="89"/>
      <c r="I11" s="89"/>
      <c r="J11" s="89"/>
      <c r="K11" s="89"/>
      <c r="L11" s="89"/>
    </row>
    <row r="12" spans="1:12" ht="19">
      <c r="A12" s="89"/>
      <c r="B12" s="211" t="s">
        <v>282</v>
      </c>
      <c r="C12" s="111"/>
      <c r="D12" s="199">
        <f>CAPEX</f>
        <v>25000</v>
      </c>
      <c r="E12" s="89"/>
      <c r="F12" s="89"/>
      <c r="G12" s="89"/>
      <c r="H12" s="89"/>
      <c r="I12" s="89"/>
      <c r="J12" s="89"/>
      <c r="K12" s="89"/>
      <c r="L12" s="89"/>
    </row>
    <row r="13" spans="1:12" ht="19">
      <c r="A13" s="89"/>
      <c r="B13" s="28" t="s">
        <v>43</v>
      </c>
      <c r="C13" s="30"/>
      <c r="D13" s="279">
        <v>2000</v>
      </c>
      <c r="E13" s="89"/>
      <c r="F13" s="89"/>
      <c r="G13" s="89"/>
      <c r="H13" s="89"/>
      <c r="I13" s="89"/>
      <c r="J13" s="89"/>
      <c r="K13" s="89"/>
      <c r="L13" s="89"/>
    </row>
    <row r="14" spans="1:12" ht="19">
      <c r="A14" s="89"/>
      <c r="B14" s="28" t="s">
        <v>44</v>
      </c>
      <c r="C14" s="30"/>
      <c r="D14" s="31">
        <v>0.25</v>
      </c>
      <c r="E14" s="89"/>
      <c r="F14" s="89"/>
      <c r="G14" s="89"/>
      <c r="H14" s="89"/>
      <c r="I14" s="89"/>
      <c r="J14" s="89"/>
      <c r="K14" s="89"/>
      <c r="L14" s="89"/>
    </row>
    <row r="15" spans="1:12" ht="19">
      <c r="A15" s="89"/>
      <c r="B15" s="89"/>
      <c r="C15" s="89"/>
      <c r="D15" s="89"/>
      <c r="E15" s="89"/>
      <c r="F15" s="89"/>
      <c r="G15" s="89"/>
      <c r="H15" s="89"/>
      <c r="I15" s="89"/>
      <c r="J15" s="89"/>
      <c r="K15" s="89"/>
      <c r="L15" s="89"/>
    </row>
    <row r="16" spans="1:12" ht="19">
      <c r="A16" s="89"/>
      <c r="B16" s="89"/>
      <c r="C16" s="2" t="s">
        <v>180</v>
      </c>
      <c r="D16" s="89"/>
      <c r="E16" s="89"/>
      <c r="F16" s="89"/>
      <c r="G16" s="89"/>
      <c r="H16" s="89"/>
      <c r="I16" s="89"/>
      <c r="J16" s="89"/>
      <c r="K16" s="89"/>
      <c r="L16" s="89"/>
    </row>
    <row r="17" spans="1:12" ht="19">
      <c r="A17" s="26"/>
      <c r="B17" s="26"/>
      <c r="C17" s="26"/>
      <c r="D17" s="26"/>
      <c r="E17" s="26"/>
      <c r="F17" s="26"/>
      <c r="G17" s="26"/>
      <c r="H17" s="26"/>
      <c r="I17" s="26"/>
      <c r="J17" s="26"/>
      <c r="K17" s="26"/>
      <c r="L17" s="26"/>
    </row>
    <row r="18" spans="1:12" ht="19">
      <c r="B18" s="28" t="s">
        <v>146</v>
      </c>
      <c r="C18" s="30"/>
      <c r="D18" s="75">
        <f>PVU</f>
        <v>52000</v>
      </c>
      <c r="K18" s="26"/>
      <c r="L18" s="26"/>
    </row>
    <row r="19" spans="1:12" ht="19">
      <c r="A19" s="26"/>
      <c r="B19" s="28" t="s">
        <v>49</v>
      </c>
      <c r="C19" s="30"/>
      <c r="D19" s="31">
        <f>INFPV</f>
        <v>0.06</v>
      </c>
      <c r="K19" s="26"/>
      <c r="L19" s="26"/>
    </row>
    <row r="20" spans="1:12" ht="19">
      <c r="A20" s="26"/>
      <c r="B20" s="28" t="s">
        <v>147</v>
      </c>
      <c r="C20" s="30"/>
      <c r="D20" s="75">
        <f>CRVU</f>
        <v>24538.461538461539</v>
      </c>
      <c r="E20" s="26"/>
      <c r="F20" s="26"/>
      <c r="G20" s="70"/>
      <c r="H20" s="26"/>
      <c r="I20" s="26"/>
      <c r="J20" s="26"/>
      <c r="K20" s="26"/>
      <c r="L20" s="26"/>
    </row>
    <row r="21" spans="1:12" ht="19">
      <c r="A21" s="26"/>
      <c r="B21" s="28" t="s">
        <v>281</v>
      </c>
      <c r="C21" s="111"/>
      <c r="D21" s="75">
        <f>CFX</f>
        <v>10000</v>
      </c>
      <c r="E21" s="26"/>
      <c r="F21" s="26"/>
      <c r="G21" s="70"/>
      <c r="H21" s="26"/>
      <c r="I21" s="26"/>
      <c r="J21" s="26"/>
      <c r="K21" s="26"/>
      <c r="L21" s="26"/>
    </row>
    <row r="22" spans="1:12" ht="19">
      <c r="A22" s="26"/>
      <c r="B22" s="28" t="s">
        <v>50</v>
      </c>
      <c r="C22" s="30"/>
      <c r="D22" s="31">
        <v>0.06</v>
      </c>
      <c r="E22" s="26"/>
      <c r="F22" s="26"/>
      <c r="G22" s="70"/>
      <c r="H22" s="26"/>
      <c r="I22" s="26"/>
      <c r="J22" s="26"/>
      <c r="K22" s="26"/>
      <c r="L22" s="26"/>
    </row>
    <row r="23" spans="1:12" ht="19">
      <c r="A23" s="26"/>
      <c r="B23" s="26"/>
      <c r="C23" s="26"/>
      <c r="D23" s="70"/>
      <c r="E23" s="26"/>
      <c r="F23" s="26"/>
      <c r="G23" s="70"/>
      <c r="H23" s="26"/>
      <c r="I23" s="26"/>
      <c r="J23" s="26"/>
      <c r="K23" s="26"/>
      <c r="L23" s="26"/>
    </row>
    <row r="24" spans="1:12" ht="19">
      <c r="A24" s="26"/>
      <c r="B24" s="26"/>
      <c r="C24" s="26"/>
      <c r="D24" s="70"/>
      <c r="E24" s="26"/>
      <c r="F24" s="26"/>
      <c r="G24" s="70"/>
      <c r="H24" s="26"/>
      <c r="I24" s="26"/>
      <c r="J24" s="26"/>
      <c r="K24" s="26"/>
      <c r="L24" s="26"/>
    </row>
    <row r="25" spans="1:12" ht="19">
      <c r="A25" s="26"/>
      <c r="B25" s="26"/>
      <c r="D25" s="2" t="s">
        <v>51</v>
      </c>
      <c r="E25" s="26"/>
      <c r="F25" s="26"/>
      <c r="G25" s="70"/>
      <c r="H25" s="26"/>
      <c r="I25" s="26"/>
      <c r="J25" s="26"/>
      <c r="K25" s="26"/>
      <c r="L25" s="26"/>
    </row>
    <row r="26" spans="1:12" ht="19">
      <c r="A26" s="23"/>
      <c r="B26" s="26"/>
      <c r="C26" s="26"/>
      <c r="D26" s="26"/>
      <c r="E26" s="26"/>
      <c r="F26" s="26"/>
      <c r="G26" s="26"/>
      <c r="H26" s="26"/>
      <c r="I26" s="26"/>
      <c r="J26" s="26"/>
      <c r="K26" s="26"/>
      <c r="L26" s="26"/>
    </row>
    <row r="27" spans="1:12" ht="19">
      <c r="B27" s="35"/>
      <c r="C27" s="36"/>
      <c r="D27" s="37"/>
      <c r="E27" s="36"/>
      <c r="F27" s="38"/>
      <c r="G27" s="26"/>
      <c r="H27" s="26"/>
      <c r="I27" s="26"/>
      <c r="J27" s="26"/>
      <c r="K27" s="26"/>
      <c r="L27" s="26"/>
    </row>
    <row r="28" spans="1:12" ht="19">
      <c r="A28" s="26"/>
      <c r="B28" s="39" t="s">
        <v>52</v>
      </c>
      <c r="C28" s="23"/>
      <c r="D28" s="40">
        <v>1</v>
      </c>
      <c r="E28" s="23" t="s">
        <v>53</v>
      </c>
      <c r="F28" s="41"/>
      <c r="G28" s="26"/>
      <c r="H28" s="26"/>
      <c r="I28" s="26"/>
      <c r="J28" s="26"/>
      <c r="K28" s="26"/>
      <c r="L28" s="26"/>
    </row>
    <row r="29" spans="1:12" ht="19">
      <c r="A29" s="26"/>
      <c r="B29" s="39" t="s">
        <v>54</v>
      </c>
      <c r="C29" s="23"/>
      <c r="D29" s="40">
        <v>2</v>
      </c>
      <c r="E29" s="23" t="s">
        <v>55</v>
      </c>
      <c r="F29" s="41"/>
      <c r="G29" s="26"/>
      <c r="H29" s="26"/>
      <c r="I29" s="26"/>
      <c r="J29" s="26"/>
      <c r="K29" s="26"/>
      <c r="L29" s="26"/>
    </row>
    <row r="30" spans="1:12" ht="19">
      <c r="A30" s="26"/>
      <c r="B30" s="39" t="s">
        <v>56</v>
      </c>
      <c r="C30" s="23"/>
      <c r="D30" s="23">
        <v>120</v>
      </c>
      <c r="E30" s="23" t="s">
        <v>57</v>
      </c>
      <c r="F30" s="41"/>
      <c r="G30" s="26"/>
      <c r="H30" s="26"/>
      <c r="I30" s="26"/>
      <c r="J30" s="26"/>
      <c r="K30" s="26"/>
      <c r="L30" s="26"/>
    </row>
    <row r="31" spans="1:12" ht="19">
      <c r="A31" s="26"/>
      <c r="B31" s="39" t="s">
        <v>58</v>
      </c>
      <c r="C31" s="23"/>
      <c r="D31" s="23">
        <v>90</v>
      </c>
      <c r="E31" s="23" t="s">
        <v>59</v>
      </c>
      <c r="F31" s="41"/>
      <c r="G31" s="26"/>
      <c r="H31" s="26"/>
      <c r="I31" s="26"/>
      <c r="J31" s="26"/>
      <c r="K31" s="26"/>
      <c r="L31" s="26"/>
    </row>
    <row r="32" spans="1:12" ht="19">
      <c r="A32" s="26"/>
      <c r="B32" s="42"/>
      <c r="C32" s="43"/>
      <c r="D32" s="44"/>
      <c r="E32" s="43"/>
      <c r="F32" s="45"/>
      <c r="G32" s="26"/>
      <c r="H32" s="26"/>
      <c r="I32" s="26"/>
      <c r="J32" s="26"/>
      <c r="K32" s="26"/>
      <c r="L32" s="26"/>
    </row>
    <row r="33" spans="1:12" ht="19">
      <c r="A33" s="26"/>
      <c r="B33" s="23"/>
      <c r="C33" s="23"/>
      <c r="D33" s="46"/>
      <c r="E33" s="23"/>
      <c r="F33" s="23"/>
      <c r="G33" s="26"/>
      <c r="H33" s="26"/>
      <c r="I33" s="26"/>
      <c r="J33" s="26"/>
      <c r="K33" s="26"/>
      <c r="L33" s="26"/>
    </row>
    <row r="34" spans="1:12" ht="19">
      <c r="B34" s="47" t="s">
        <v>31</v>
      </c>
      <c r="C34" s="111"/>
      <c r="D34" s="97">
        <f>CMPC!C34</f>
        <v>0.104162</v>
      </c>
      <c r="G34" s="26"/>
      <c r="H34" s="26"/>
      <c r="I34" s="26"/>
      <c r="J34" s="26"/>
      <c r="K34" s="26"/>
      <c r="L34" s="26"/>
    </row>
    <row r="35" spans="1:12" ht="19">
      <c r="A35" s="23"/>
      <c r="B35" s="48" t="s">
        <v>60</v>
      </c>
      <c r="C35" s="49"/>
      <c r="D35" s="98">
        <f>TIS</f>
        <v>0.3</v>
      </c>
      <c r="E35" s="23"/>
      <c r="F35" s="23"/>
      <c r="G35" s="23"/>
      <c r="H35" s="23"/>
      <c r="I35" s="23"/>
      <c r="J35" s="23"/>
      <c r="K35" s="23"/>
      <c r="L35" s="23"/>
    </row>
    <row r="36" spans="1:12" ht="19">
      <c r="A36" s="23"/>
      <c r="B36" s="112"/>
      <c r="C36" s="113"/>
      <c r="D36" s="114"/>
      <c r="E36" s="23"/>
      <c r="F36" s="23"/>
      <c r="G36" s="23"/>
      <c r="H36" s="23"/>
      <c r="I36" s="23"/>
      <c r="J36" s="23"/>
      <c r="K36" s="23"/>
      <c r="L36" s="23"/>
    </row>
    <row r="37" spans="1:12" ht="20" thickBot="1">
      <c r="A37" s="23"/>
      <c r="B37" s="112"/>
      <c r="C37" s="113"/>
      <c r="D37" s="114"/>
      <c r="E37" s="23"/>
      <c r="F37" s="23"/>
      <c r="G37" s="23"/>
      <c r="H37" s="23"/>
      <c r="I37" s="23"/>
      <c r="J37" s="23"/>
      <c r="K37" s="23"/>
      <c r="L37" s="23"/>
    </row>
    <row r="38" spans="1:12" ht="23" thickTop="1" thickBot="1">
      <c r="A38" s="22" t="s">
        <v>61</v>
      </c>
      <c r="B38" s="23"/>
      <c r="C38" s="23" t="s">
        <v>41</v>
      </c>
      <c r="D38" s="23"/>
      <c r="E38" s="23"/>
      <c r="F38" s="23"/>
      <c r="G38" s="23"/>
      <c r="H38" s="23"/>
      <c r="I38" s="23"/>
      <c r="J38" s="23"/>
      <c r="K38" s="23"/>
      <c r="L38" s="23"/>
    </row>
    <row r="39" spans="1:12" ht="20" thickTop="1">
      <c r="A39" s="23"/>
      <c r="B39" s="23"/>
      <c r="C39" s="23"/>
      <c r="D39" s="23"/>
      <c r="E39" s="23"/>
      <c r="F39" s="23"/>
      <c r="G39" s="23"/>
      <c r="H39" s="23"/>
      <c r="I39" s="23"/>
      <c r="J39" s="23"/>
      <c r="K39" s="23"/>
      <c r="L39" s="23"/>
    </row>
    <row r="40" spans="1:12" ht="19">
      <c r="A40" s="33" t="s">
        <v>62</v>
      </c>
      <c r="B40" s="33">
        <v>0</v>
      </c>
      <c r="C40" s="33">
        <v>1</v>
      </c>
      <c r="D40" s="33">
        <f>C40+1</f>
        <v>2</v>
      </c>
      <c r="E40" s="33">
        <f t="shared" ref="E40:L40" si="2">D40+1</f>
        <v>3</v>
      </c>
      <c r="F40" s="33">
        <f t="shared" si="2"/>
        <v>4</v>
      </c>
      <c r="G40" s="33">
        <f t="shared" si="2"/>
        <v>5</v>
      </c>
      <c r="H40" s="33">
        <f t="shared" si="2"/>
        <v>6</v>
      </c>
      <c r="I40" s="33">
        <f t="shared" si="2"/>
        <v>7</v>
      </c>
      <c r="J40" s="33">
        <f t="shared" si="2"/>
        <v>8</v>
      </c>
      <c r="K40" s="33">
        <f t="shared" si="2"/>
        <v>9</v>
      </c>
      <c r="L40" s="33">
        <f t="shared" si="2"/>
        <v>10</v>
      </c>
    </row>
    <row r="41" spans="1:12" ht="19">
      <c r="A41" s="50"/>
      <c r="B41" s="50"/>
      <c r="C41" s="50"/>
      <c r="D41" s="50"/>
      <c r="E41" s="50"/>
      <c r="F41" s="50"/>
      <c r="G41" s="50"/>
      <c r="H41" s="50"/>
      <c r="I41" s="50"/>
      <c r="J41" s="50"/>
      <c r="K41" s="51"/>
      <c r="L41" s="51"/>
    </row>
    <row r="42" spans="1:12" ht="19">
      <c r="A42" s="52" t="s">
        <v>46</v>
      </c>
      <c r="B42" s="53"/>
      <c r="C42" s="53">
        <f t="shared" ref="C42:L42" si="3">C8</f>
        <v>200</v>
      </c>
      <c r="D42" s="53">
        <f t="shared" si="3"/>
        <v>500</v>
      </c>
      <c r="E42" s="53">
        <f t="shared" si="3"/>
        <v>800</v>
      </c>
      <c r="F42" s="53">
        <f t="shared" si="3"/>
        <v>1000</v>
      </c>
      <c r="G42" s="53">
        <f t="shared" si="3"/>
        <v>1000</v>
      </c>
      <c r="H42" s="53">
        <f t="shared" si="3"/>
        <v>1000</v>
      </c>
      <c r="I42" s="53">
        <f t="shared" si="3"/>
        <v>1000</v>
      </c>
      <c r="J42" s="53">
        <f t="shared" si="3"/>
        <v>1000</v>
      </c>
      <c r="K42" s="53">
        <f t="shared" si="3"/>
        <v>1000</v>
      </c>
      <c r="L42" s="53">
        <f t="shared" si="3"/>
        <v>1000</v>
      </c>
    </row>
    <row r="43" spans="1:12" s="76" customFormat="1" ht="19">
      <c r="A43" s="58" t="s">
        <v>63</v>
      </c>
      <c r="B43" s="58"/>
      <c r="C43" s="58">
        <f>$D18*((1+$D19)^C40)</f>
        <v>55120</v>
      </c>
      <c r="D43" s="58">
        <f t="shared" ref="D43:L43" si="4">$D18*((1+$D19)^D40)</f>
        <v>58427.200000000012</v>
      </c>
      <c r="E43" s="58">
        <f t="shared" si="4"/>
        <v>61932.832000000017</v>
      </c>
      <c r="F43" s="58">
        <f t="shared" si="4"/>
        <v>65648.801920000013</v>
      </c>
      <c r="G43" s="58">
        <f t="shared" si="4"/>
        <v>69587.730035200031</v>
      </c>
      <c r="H43" s="58">
        <f t="shared" si="4"/>
        <v>73762.993837312024</v>
      </c>
      <c r="I43" s="58">
        <f t="shared" si="4"/>
        <v>78188.773467550767</v>
      </c>
      <c r="J43" s="58">
        <f t="shared" si="4"/>
        <v>82880.099875603803</v>
      </c>
      <c r="K43" s="58">
        <f t="shared" si="4"/>
        <v>87852.905868140035</v>
      </c>
      <c r="L43" s="58">
        <f t="shared" si="4"/>
        <v>93124.080220228439</v>
      </c>
    </row>
    <row r="44" spans="1:12" s="77" customFormat="1" ht="19">
      <c r="A44" s="56" t="s">
        <v>236</v>
      </c>
      <c r="B44" s="56"/>
      <c r="C44" s="60">
        <f>C42*C43/1000</f>
        <v>11024</v>
      </c>
      <c r="D44" s="60">
        <f t="shared" ref="D44:L44" si="5">D42*D43/1000</f>
        <v>29213.600000000006</v>
      </c>
      <c r="E44" s="60">
        <f t="shared" si="5"/>
        <v>49546.265600000013</v>
      </c>
      <c r="F44" s="60">
        <f t="shared" si="5"/>
        <v>65648.801920000013</v>
      </c>
      <c r="G44" s="60">
        <f t="shared" si="5"/>
        <v>69587.730035200031</v>
      </c>
      <c r="H44" s="60">
        <f t="shared" si="5"/>
        <v>73762.993837312024</v>
      </c>
      <c r="I44" s="60">
        <f t="shared" si="5"/>
        <v>78188.773467550767</v>
      </c>
      <c r="J44" s="60">
        <f t="shared" si="5"/>
        <v>82880.099875603788</v>
      </c>
      <c r="K44" s="60">
        <f t="shared" si="5"/>
        <v>87852.905868140035</v>
      </c>
      <c r="L44" s="60">
        <f t="shared" si="5"/>
        <v>93124.080220228439</v>
      </c>
    </row>
    <row r="45" spans="1:12" ht="19">
      <c r="A45" s="55"/>
      <c r="B45" s="55"/>
      <c r="C45" s="60"/>
      <c r="D45" s="60"/>
      <c r="E45" s="60"/>
      <c r="F45" s="60"/>
      <c r="G45" s="60"/>
      <c r="H45" s="60"/>
      <c r="I45" s="60"/>
      <c r="J45" s="60"/>
      <c r="K45" s="60"/>
      <c r="L45" s="60"/>
    </row>
    <row r="46" spans="1:12" ht="19">
      <c r="A46" s="54" t="s">
        <v>64</v>
      </c>
      <c r="B46" s="54"/>
      <c r="C46" s="58">
        <f>$D20*((1+$D22)^C40)</f>
        <v>26010.769230769234</v>
      </c>
      <c r="D46" s="58">
        <f t="shared" ref="D46:L46" si="6">$D20*((1+$D22)^D40)</f>
        <v>27571.415384615389</v>
      </c>
      <c r="E46" s="58">
        <f t="shared" si="6"/>
        <v>29225.700307692317</v>
      </c>
      <c r="F46" s="58">
        <f t="shared" si="6"/>
        <v>30979.242326153853</v>
      </c>
      <c r="G46" s="58">
        <f t="shared" si="6"/>
        <v>32837.996865723093</v>
      </c>
      <c r="H46" s="58">
        <f t="shared" si="6"/>
        <v>34808.276677666479</v>
      </c>
      <c r="I46" s="58">
        <f t="shared" si="6"/>
        <v>36896.773278326473</v>
      </c>
      <c r="J46" s="58">
        <f t="shared" si="6"/>
        <v>39110.579675026056</v>
      </c>
      <c r="K46" s="58">
        <f t="shared" si="6"/>
        <v>41457.214455527617</v>
      </c>
      <c r="L46" s="58">
        <f t="shared" si="6"/>
        <v>43944.64732285928</v>
      </c>
    </row>
    <row r="47" spans="1:12" s="76" customFormat="1" ht="19">
      <c r="A47" s="58" t="s">
        <v>65</v>
      </c>
      <c r="B47" s="58"/>
      <c r="C47" s="58">
        <f>C43-C46</f>
        <v>29109.230769230766</v>
      </c>
      <c r="D47" s="58">
        <f t="shared" ref="D47:L47" si="7">D43-D46</f>
        <v>30855.784615384622</v>
      </c>
      <c r="E47" s="58">
        <f t="shared" si="7"/>
        <v>32707.131692307699</v>
      </c>
      <c r="F47" s="58">
        <f t="shared" si="7"/>
        <v>34669.559593846163</v>
      </c>
      <c r="G47" s="58">
        <f t="shared" si="7"/>
        <v>36749.733169476938</v>
      </c>
      <c r="H47" s="58">
        <f t="shared" si="7"/>
        <v>38954.717159645545</v>
      </c>
      <c r="I47" s="58">
        <f t="shared" si="7"/>
        <v>41292.000189224294</v>
      </c>
      <c r="J47" s="58">
        <f t="shared" si="7"/>
        <v>43769.520200577746</v>
      </c>
      <c r="K47" s="58">
        <f t="shared" si="7"/>
        <v>46395.691412612417</v>
      </c>
      <c r="L47" s="58">
        <f t="shared" si="7"/>
        <v>49179.432897369159</v>
      </c>
    </row>
    <row r="48" spans="1:12" ht="19">
      <c r="A48" s="52"/>
      <c r="B48" s="52"/>
      <c r="C48" s="58"/>
      <c r="D48" s="58"/>
      <c r="E48" s="58"/>
      <c r="F48" s="58"/>
      <c r="G48" s="58"/>
      <c r="H48" s="58"/>
      <c r="I48" s="58"/>
      <c r="J48" s="58"/>
      <c r="K48" s="58"/>
      <c r="L48" s="58"/>
    </row>
    <row r="49" spans="1:19" ht="19">
      <c r="A49" s="57" t="s">
        <v>237</v>
      </c>
      <c r="B49" s="57"/>
      <c r="C49" s="60">
        <f>C42*C47/1000</f>
        <v>5821.8461538461534</v>
      </c>
      <c r="D49" s="60">
        <f t="shared" ref="D49:L49" si="8">D42*D47/1000</f>
        <v>15427.892307692311</v>
      </c>
      <c r="E49" s="60">
        <f t="shared" si="8"/>
        <v>26165.705353846159</v>
      </c>
      <c r="F49" s="60">
        <f t="shared" si="8"/>
        <v>34669.559593846163</v>
      </c>
      <c r="G49" s="60">
        <f t="shared" si="8"/>
        <v>36749.733169476938</v>
      </c>
      <c r="H49" s="60">
        <f t="shared" si="8"/>
        <v>38954.717159645545</v>
      </c>
      <c r="I49" s="60">
        <f t="shared" si="8"/>
        <v>41292.000189224294</v>
      </c>
      <c r="J49" s="60">
        <f t="shared" si="8"/>
        <v>43769.520200577746</v>
      </c>
      <c r="K49" s="60">
        <f t="shared" si="8"/>
        <v>46395.691412612417</v>
      </c>
      <c r="L49" s="60">
        <f t="shared" si="8"/>
        <v>49179.432897369159</v>
      </c>
    </row>
    <row r="50" spans="1:19" ht="19">
      <c r="A50" s="52"/>
      <c r="B50" s="52"/>
      <c r="C50" s="58"/>
      <c r="D50" s="58"/>
      <c r="E50" s="58"/>
      <c r="F50" s="58"/>
      <c r="G50" s="58"/>
      <c r="H50" s="58"/>
      <c r="I50" s="58"/>
      <c r="J50" s="58"/>
      <c r="K50" s="58"/>
      <c r="L50" s="58"/>
    </row>
    <row r="51" spans="1:19" ht="19">
      <c r="A51" s="52" t="s">
        <v>181</v>
      </c>
      <c r="B51" s="52"/>
      <c r="C51" s="58">
        <f>-$D21*((1+$D22)^C40)</f>
        <v>-10600</v>
      </c>
      <c r="D51" s="58">
        <f t="shared" ref="D51:L51" si="9">-$D21*((1+$D22)^D40)</f>
        <v>-11236.000000000002</v>
      </c>
      <c r="E51" s="58">
        <f t="shared" si="9"/>
        <v>-11910.160000000003</v>
      </c>
      <c r="F51" s="58">
        <f t="shared" si="9"/>
        <v>-12624.769600000003</v>
      </c>
      <c r="G51" s="58">
        <f t="shared" si="9"/>
        <v>-13382.255776000005</v>
      </c>
      <c r="H51" s="58">
        <f t="shared" si="9"/>
        <v>-14185.191122560005</v>
      </c>
      <c r="I51" s="58">
        <f t="shared" si="9"/>
        <v>-15036.302589913608</v>
      </c>
      <c r="J51" s="58">
        <f t="shared" si="9"/>
        <v>-15938.480745308423</v>
      </c>
      <c r="K51" s="58">
        <f t="shared" si="9"/>
        <v>-16894.789590026929</v>
      </c>
      <c r="L51" s="58">
        <f t="shared" si="9"/>
        <v>-17908.476965428545</v>
      </c>
    </row>
    <row r="52" spans="1:19" ht="19">
      <c r="A52" s="52"/>
      <c r="B52" s="52"/>
      <c r="C52" s="58"/>
      <c r="D52" s="58"/>
      <c r="E52" s="58"/>
      <c r="F52" s="58"/>
      <c r="G52" s="58"/>
      <c r="H52" s="58"/>
      <c r="I52" s="58"/>
      <c r="J52" s="58"/>
      <c r="K52" s="58"/>
      <c r="L52" s="58"/>
    </row>
    <row r="53" spans="1:19" ht="19">
      <c r="A53" s="57" t="s">
        <v>67</v>
      </c>
      <c r="B53" s="57"/>
      <c r="C53" s="60">
        <f>C49+C51</f>
        <v>-4778.1538461538466</v>
      </c>
      <c r="D53" s="60">
        <f t="shared" ref="D53:L53" si="10">D49+D51</f>
        <v>4191.8923076923093</v>
      </c>
      <c r="E53" s="60">
        <f t="shared" si="10"/>
        <v>14255.545353846155</v>
      </c>
      <c r="F53" s="60">
        <f t="shared" si="10"/>
        <v>22044.78999384616</v>
      </c>
      <c r="G53" s="60">
        <f t="shared" si="10"/>
        <v>23367.477393476933</v>
      </c>
      <c r="H53" s="60">
        <f t="shared" si="10"/>
        <v>24769.526037085539</v>
      </c>
      <c r="I53" s="60">
        <f t="shared" si="10"/>
        <v>26255.697599310686</v>
      </c>
      <c r="J53" s="60">
        <f t="shared" si="10"/>
        <v>27831.039455269325</v>
      </c>
      <c r="K53" s="60">
        <f t="shared" si="10"/>
        <v>29500.901822585489</v>
      </c>
      <c r="L53" s="60">
        <f t="shared" si="10"/>
        <v>31270.955931940614</v>
      </c>
    </row>
    <row r="54" spans="1:19" ht="19">
      <c r="A54" s="52"/>
      <c r="B54" s="52"/>
      <c r="C54" s="58"/>
      <c r="D54" s="58"/>
      <c r="E54" s="58"/>
      <c r="F54" s="58"/>
      <c r="G54" s="58"/>
      <c r="H54" s="58"/>
      <c r="I54" s="58"/>
      <c r="J54" s="58"/>
      <c r="K54" s="58"/>
      <c r="L54" s="58"/>
    </row>
    <row r="55" spans="1:19" ht="19">
      <c r="A55" s="52" t="s">
        <v>160</v>
      </c>
      <c r="B55" s="52"/>
      <c r="C55" s="58">
        <f t="shared" ref="C55:L55" si="11">-$D12/10</f>
        <v>-2500</v>
      </c>
      <c r="D55" s="58">
        <f t="shared" si="11"/>
        <v>-2500</v>
      </c>
      <c r="E55" s="58">
        <f t="shared" si="11"/>
        <v>-2500</v>
      </c>
      <c r="F55" s="58">
        <f t="shared" si="11"/>
        <v>-2500</v>
      </c>
      <c r="G55" s="58">
        <f t="shared" si="11"/>
        <v>-2500</v>
      </c>
      <c r="H55" s="58">
        <f t="shared" si="11"/>
        <v>-2500</v>
      </c>
      <c r="I55" s="58">
        <f t="shared" si="11"/>
        <v>-2500</v>
      </c>
      <c r="J55" s="58">
        <f t="shared" si="11"/>
        <v>-2500</v>
      </c>
      <c r="K55" s="58">
        <f t="shared" si="11"/>
        <v>-2500</v>
      </c>
      <c r="L55" s="58">
        <f t="shared" si="11"/>
        <v>-2500</v>
      </c>
    </row>
    <row r="56" spans="1:19" ht="19">
      <c r="A56" s="58"/>
      <c r="B56" s="59"/>
      <c r="C56" s="58"/>
      <c r="D56" s="58"/>
      <c r="E56" s="58"/>
      <c r="F56" s="58"/>
      <c r="G56" s="58"/>
      <c r="H56" s="58"/>
      <c r="I56" s="58"/>
      <c r="J56" s="58"/>
      <c r="K56" s="58"/>
      <c r="L56" s="58"/>
    </row>
    <row r="57" spans="1:19" ht="19">
      <c r="A57" s="60" t="s">
        <v>68</v>
      </c>
      <c r="B57" s="61"/>
      <c r="C57" s="60">
        <f>C53+C55</f>
        <v>-7278.1538461538466</v>
      </c>
      <c r="D57" s="60">
        <f t="shared" ref="D57:L57" si="12">D53+D55</f>
        <v>1691.8923076923093</v>
      </c>
      <c r="E57" s="60">
        <f t="shared" si="12"/>
        <v>11755.545353846155</v>
      </c>
      <c r="F57" s="60">
        <f t="shared" si="12"/>
        <v>19544.78999384616</v>
      </c>
      <c r="G57" s="60">
        <f t="shared" si="12"/>
        <v>20867.477393476933</v>
      </c>
      <c r="H57" s="60">
        <f t="shared" si="12"/>
        <v>22269.526037085539</v>
      </c>
      <c r="I57" s="60">
        <f t="shared" si="12"/>
        <v>23755.697599310686</v>
      </c>
      <c r="J57" s="60">
        <f t="shared" si="12"/>
        <v>25331.039455269325</v>
      </c>
      <c r="K57" s="60">
        <f t="shared" si="12"/>
        <v>27000.901822585489</v>
      </c>
      <c r="L57" s="60">
        <f t="shared" si="12"/>
        <v>28770.955931940614</v>
      </c>
    </row>
    <row r="58" spans="1:19" ht="19">
      <c r="A58" s="164"/>
      <c r="B58" s="165"/>
      <c r="C58" s="164"/>
      <c r="D58" s="164"/>
      <c r="E58" s="164"/>
      <c r="F58" s="164"/>
      <c r="G58" s="164"/>
      <c r="H58" s="164"/>
      <c r="I58" s="164"/>
      <c r="J58" s="164"/>
      <c r="K58" s="164"/>
      <c r="L58" s="164"/>
    </row>
    <row r="59" spans="1:19" ht="19">
      <c r="A59" s="60"/>
      <c r="B59" s="61"/>
      <c r="C59" s="60"/>
      <c r="D59" s="60"/>
      <c r="E59" s="60"/>
      <c r="F59" s="60"/>
      <c r="G59" s="60"/>
      <c r="H59" s="60"/>
      <c r="I59" s="60"/>
      <c r="J59" s="60"/>
      <c r="K59" s="60"/>
      <c r="L59" s="60"/>
    </row>
    <row r="60" spans="1:19" ht="19">
      <c r="A60" s="202" t="s">
        <v>133</v>
      </c>
      <c r="B60" s="59"/>
      <c r="C60" s="58">
        <f>-B99*CMPC!$C30</f>
        <v>-400.59487179487166</v>
      </c>
      <c r="D60" s="58">
        <f>-C99*CMPC!$C30</f>
        <v>-517.38227692307669</v>
      </c>
      <c r="E60" s="58">
        <f>-D99*CMPC!$C30</f>
        <v>-586.9203416615386</v>
      </c>
      <c r="F60" s="58">
        <f>-E99*CMPC!$C30</f>
        <v>-633.66945270153815</v>
      </c>
      <c r="G60" s="58">
        <f>-F99*CMPC!$C30</f>
        <v>-614.88961986363097</v>
      </c>
      <c r="H60" s="58">
        <f>-G99*CMPC!$C30</f>
        <v>-597.38299705544853</v>
      </c>
      <c r="I60" s="58">
        <f>-H99*CMPC!$C30</f>
        <v>-581.22597687877578</v>
      </c>
      <c r="J60" s="58">
        <f>-I99*CMPC!$C30</f>
        <v>-566.49953549150189</v>
      </c>
      <c r="K60" s="58">
        <f>-J99*CMPC!$C30</f>
        <v>-553.28950762099237</v>
      </c>
      <c r="L60" s="58">
        <f>-K99*CMPC!$C30</f>
        <v>-541.68687807825211</v>
      </c>
    </row>
    <row r="61" spans="1:19" ht="19">
      <c r="A61" s="58"/>
      <c r="B61" s="59"/>
      <c r="C61" s="58"/>
      <c r="D61" s="58"/>
      <c r="E61" s="58"/>
      <c r="F61" s="58"/>
      <c r="G61" s="58"/>
      <c r="H61" s="58"/>
      <c r="I61" s="58"/>
      <c r="J61" s="58"/>
      <c r="K61" s="58"/>
      <c r="L61" s="58"/>
      <c r="M61" s="198"/>
    </row>
    <row r="62" spans="1:19" ht="19">
      <c r="A62" s="234" t="s">
        <v>134</v>
      </c>
      <c r="B62" s="235"/>
      <c r="C62" s="234">
        <f>C57+C60</f>
        <v>-7678.748717948718</v>
      </c>
      <c r="D62" s="234">
        <f t="shared" ref="D62:L62" si="13">D57+D60</f>
        <v>1174.5100307692326</v>
      </c>
      <c r="E62" s="234">
        <f t="shared" si="13"/>
        <v>11168.625012184617</v>
      </c>
      <c r="F62" s="234">
        <f t="shared" si="13"/>
        <v>18911.120541144621</v>
      </c>
      <c r="G62" s="234">
        <f t="shared" si="13"/>
        <v>20252.587773613301</v>
      </c>
      <c r="H62" s="234">
        <f t="shared" si="13"/>
        <v>21672.143040030092</v>
      </c>
      <c r="I62" s="234">
        <f t="shared" si="13"/>
        <v>23174.471622431909</v>
      </c>
      <c r="J62" s="234">
        <f t="shared" si="13"/>
        <v>24764.539919777824</v>
      </c>
      <c r="K62" s="234">
        <f t="shared" si="13"/>
        <v>26447.612314964495</v>
      </c>
      <c r="L62" s="234">
        <f t="shared" si="13"/>
        <v>28229.269053862361</v>
      </c>
      <c r="M62" s="231"/>
      <c r="N62" s="231"/>
      <c r="O62" s="231"/>
      <c r="P62" s="231"/>
      <c r="Q62" s="231"/>
      <c r="R62" s="231"/>
      <c r="S62" s="231"/>
    </row>
    <row r="63" spans="1:19" ht="19">
      <c r="A63" s="234"/>
      <c r="B63" s="235"/>
      <c r="C63" s="234"/>
      <c r="D63" s="234"/>
      <c r="E63" s="234"/>
      <c r="F63" s="234"/>
      <c r="G63" s="234"/>
      <c r="H63" s="234"/>
      <c r="I63" s="234"/>
      <c r="J63" s="234"/>
      <c r="K63" s="234"/>
      <c r="L63" s="234"/>
      <c r="M63" s="231"/>
      <c r="N63" s="231"/>
      <c r="O63" s="231"/>
      <c r="P63" s="231"/>
      <c r="Q63" s="231"/>
      <c r="R63" s="231"/>
      <c r="S63" s="231"/>
    </row>
    <row r="64" spans="1:19" ht="19">
      <c r="A64" s="234" t="s">
        <v>135</v>
      </c>
      <c r="B64" s="235"/>
      <c r="C64" s="234">
        <v>0</v>
      </c>
      <c r="D64" s="234">
        <f>-IF(SUM($C62:D62)&lt;0,0,MIN(SUM($C62:D62)*CMPC!$C20,CMPC!$C20*'Business plan'!D57))</f>
        <v>0</v>
      </c>
      <c r="E64" s="234">
        <f>-IF(SUM($C62:E62)&lt;0,0,MIN(SUM($C62:E62)*CMPC!$C20,CMPC!$C20*'Business plan'!E62))</f>
        <v>-1399.3158975015394</v>
      </c>
      <c r="F64" s="234">
        <f>-IF(SUM($C62:F62)&lt;0,0,MIN(SUM($C62:F62)*CMPC!$C20,CMPC!$C20*'Business plan'!F62))</f>
        <v>-5673.3361623433857</v>
      </c>
      <c r="G64" s="234">
        <f>-IF(SUM($C62:G62)&lt;0,0,MIN(SUM($C62:G62)*CMPC!$C20,CMPC!$C20*'Business plan'!G62))</f>
        <v>-6075.7763320839904</v>
      </c>
      <c r="H64" s="234">
        <f>-IF(SUM($C62:H62)&lt;0,0,MIN(SUM($C62:H62)*CMPC!$C20,CMPC!$C20*'Business plan'!H62))</f>
        <v>-6501.6429120090279</v>
      </c>
      <c r="I64" s="234">
        <f>-IF(SUM($C62:I62)&lt;0,0,MIN(SUM($C62:I62)*CMPC!$C20,CMPC!$C20*'Business plan'!I62))</f>
        <v>-6952.3414867295724</v>
      </c>
      <c r="J64" s="234">
        <f>-IF(SUM($C62:J62)&lt;0,0,MIN(SUM($C62:J62)*CMPC!$C20,CMPC!$C20*'Business plan'!J62))</f>
        <v>-7429.3619759333469</v>
      </c>
      <c r="K64" s="234">
        <f>-IF(SUM($C62:K62)&lt;0,0,MIN(SUM($C62:K62)*CMPC!$C20,CMPC!$C20*'Business plan'!K62))</f>
        <v>-7934.2836944893479</v>
      </c>
      <c r="L64" s="234">
        <f>-IF(SUM($C62:L62)&lt;0,0,MIN(SUM($C62:L62)*CMPC!$C20,CMPC!$C20*'Business plan'!L62))</f>
        <v>-8468.7807161587079</v>
      </c>
      <c r="M64" s="282"/>
      <c r="N64" s="283"/>
      <c r="O64" s="283"/>
      <c r="P64" s="231"/>
      <c r="Q64" s="231"/>
      <c r="R64" s="231"/>
      <c r="S64" s="231"/>
    </row>
    <row r="65" spans="1:19" ht="19">
      <c r="A65" s="234"/>
      <c r="B65" s="235"/>
      <c r="C65" s="234"/>
      <c r="D65" s="234"/>
      <c r="E65" s="234"/>
      <c r="F65" s="234"/>
      <c r="G65" s="234"/>
      <c r="H65" s="234"/>
      <c r="I65" s="234"/>
      <c r="J65" s="234"/>
      <c r="K65" s="234"/>
      <c r="L65" s="234"/>
      <c r="M65" s="231"/>
      <c r="N65" s="231"/>
      <c r="O65" s="231"/>
      <c r="P65" s="231"/>
      <c r="Q65" s="231"/>
      <c r="R65" s="231"/>
      <c r="S65" s="231"/>
    </row>
    <row r="66" spans="1:19" s="11" customFormat="1" ht="19">
      <c r="A66" s="236" t="s">
        <v>238</v>
      </c>
      <c r="B66" s="237"/>
      <c r="C66" s="238">
        <f>C62+C64</f>
        <v>-7678.748717948718</v>
      </c>
      <c r="D66" s="238">
        <f>D62+D64</f>
        <v>1174.5100307692326</v>
      </c>
      <c r="E66" s="238">
        <f t="shared" ref="E66:L66" si="14">E62+E64</f>
        <v>9769.3091146830775</v>
      </c>
      <c r="F66" s="238">
        <f t="shared" si="14"/>
        <v>13237.784378801236</v>
      </c>
      <c r="G66" s="238">
        <f t="shared" si="14"/>
        <v>14176.811441529309</v>
      </c>
      <c r="H66" s="238">
        <f t="shared" si="14"/>
        <v>15170.500128021064</v>
      </c>
      <c r="I66" s="238">
        <f t="shared" si="14"/>
        <v>16222.130135702337</v>
      </c>
      <c r="J66" s="238">
        <f t="shared" si="14"/>
        <v>17335.177943844479</v>
      </c>
      <c r="K66" s="238">
        <f t="shared" si="14"/>
        <v>18513.328620475149</v>
      </c>
      <c r="L66" s="238">
        <f t="shared" si="14"/>
        <v>19760.488337703653</v>
      </c>
      <c r="M66" s="231"/>
      <c r="N66" s="231"/>
      <c r="O66" s="231"/>
      <c r="P66" s="231"/>
      <c r="Q66" s="232"/>
      <c r="R66" s="232"/>
      <c r="S66" s="232"/>
    </row>
    <row r="67" spans="1:19" s="11" customFormat="1" ht="19">
      <c r="A67" s="239"/>
      <c r="B67" s="240"/>
      <c r="C67" s="239"/>
      <c r="D67" s="239"/>
      <c r="E67" s="239"/>
      <c r="F67" s="239"/>
      <c r="G67" s="239"/>
      <c r="H67" s="239"/>
      <c r="I67" s="239"/>
      <c r="J67" s="239"/>
      <c r="K67" s="239"/>
      <c r="L67" s="239"/>
      <c r="M67" s="231"/>
      <c r="N67" s="231"/>
      <c r="O67" s="231"/>
      <c r="P67" s="231"/>
      <c r="Q67" s="232"/>
      <c r="R67" s="232"/>
      <c r="S67" s="232"/>
    </row>
    <row r="68" spans="1:19" s="11" customFormat="1" ht="19">
      <c r="A68" s="241" t="s">
        <v>62</v>
      </c>
      <c r="B68" s="241">
        <v>0</v>
      </c>
      <c r="C68" s="241">
        <v>1</v>
      </c>
      <c r="D68" s="241">
        <f>C68+1</f>
        <v>2</v>
      </c>
      <c r="E68" s="241">
        <f t="shared" ref="E68" si="15">D68+1</f>
        <v>3</v>
      </c>
      <c r="F68" s="241">
        <f t="shared" ref="F68" si="16">E68+1</f>
        <v>4</v>
      </c>
      <c r="G68" s="241">
        <f t="shared" ref="G68" si="17">F68+1</f>
        <v>5</v>
      </c>
      <c r="H68" s="241">
        <f t="shared" ref="H68" si="18">G68+1</f>
        <v>6</v>
      </c>
      <c r="I68" s="241">
        <f t="shared" ref="I68" si="19">H68+1</f>
        <v>7</v>
      </c>
      <c r="J68" s="241">
        <f t="shared" ref="J68" si="20">I68+1</f>
        <v>8</v>
      </c>
      <c r="K68" s="241">
        <f t="shared" ref="K68" si="21">J68+1</f>
        <v>9</v>
      </c>
      <c r="L68" s="241">
        <f t="shared" ref="L68" si="22">K68+1</f>
        <v>10</v>
      </c>
      <c r="M68" s="231"/>
      <c r="N68" s="231"/>
      <c r="O68" s="231"/>
      <c r="P68" s="231"/>
      <c r="Q68" s="232"/>
      <c r="R68" s="232"/>
      <c r="S68" s="232"/>
    </row>
    <row r="69" spans="1:19" ht="19">
      <c r="A69" s="234"/>
      <c r="B69" s="235"/>
      <c r="C69" s="234"/>
      <c r="D69" s="234"/>
      <c r="E69" s="234"/>
      <c r="F69" s="234"/>
      <c r="G69" s="234"/>
      <c r="H69" s="234"/>
      <c r="I69" s="234"/>
      <c r="J69" s="234"/>
      <c r="K69" s="234"/>
      <c r="L69" s="234"/>
      <c r="M69" s="231"/>
      <c r="N69" s="231"/>
      <c r="O69" s="231"/>
      <c r="P69" s="231"/>
      <c r="Q69" s="231"/>
      <c r="R69" s="231"/>
      <c r="S69" s="231"/>
    </row>
    <row r="70" spans="1:19" s="79" customFormat="1" ht="19">
      <c r="A70" s="238" t="s">
        <v>239</v>
      </c>
      <c r="B70" s="238">
        <f>B94</f>
        <v>20864.316239316242</v>
      </c>
      <c r="C70" s="238">
        <f>C94-B94</f>
        <v>13761.426068376073</v>
      </c>
      <c r="D70" s="238">
        <f>D94-C94</f>
        <v>2447.2641743589702</v>
      </c>
      <c r="E70" s="238">
        <f t="shared" ref="E70:K70" si="23">E94-D94</f>
        <v>-7334.4595813497399</v>
      </c>
      <c r="F70" s="238">
        <f t="shared" si="23"/>
        <v>-14215.900672442262</v>
      </c>
      <c r="G70" s="238">
        <f t="shared" si="23"/>
        <v>-15088.6147127888</v>
      </c>
      <c r="H70" s="238">
        <f t="shared" si="23"/>
        <v>-16012.011595556116</v>
      </c>
      <c r="I70" s="238">
        <f t="shared" si="23"/>
        <v>-16989.132291289498</v>
      </c>
      <c r="J70" s="238">
        <f t="shared" si="23"/>
        <v>-18023.200228766866</v>
      </c>
      <c r="K70" s="238">
        <f t="shared" si="23"/>
        <v>-19117.632242492873</v>
      </c>
      <c r="L70" s="238">
        <f>L94-K94</f>
        <v>-47973.346570945956</v>
      </c>
      <c r="M70" s="233"/>
      <c r="N70" s="233"/>
      <c r="O70" s="233"/>
      <c r="P70" s="233"/>
      <c r="Q70" s="233"/>
      <c r="R70" s="233"/>
      <c r="S70" s="233"/>
    </row>
    <row r="71" spans="1:19" s="79" customFormat="1" ht="19">
      <c r="A71" s="238"/>
      <c r="B71" s="238"/>
      <c r="C71" s="238"/>
      <c r="D71" s="238"/>
      <c r="E71" s="238"/>
      <c r="F71" s="238"/>
      <c r="G71" s="238"/>
      <c r="H71" s="238"/>
      <c r="I71" s="238"/>
      <c r="J71" s="238"/>
      <c r="K71" s="238"/>
      <c r="L71" s="238"/>
      <c r="M71" s="233"/>
      <c r="N71" s="233"/>
      <c r="O71" s="233"/>
      <c r="P71" s="233"/>
      <c r="Q71" s="233"/>
      <c r="R71" s="233"/>
      <c r="S71" s="233"/>
    </row>
    <row r="72" spans="1:19" s="76" customFormat="1" ht="19">
      <c r="A72" s="234" t="s">
        <v>260</v>
      </c>
      <c r="B72" s="276">
        <f>Situation!D45</f>
        <v>8</v>
      </c>
      <c r="C72" s="276">
        <f t="shared" ref="C72:L72" si="24">B72*(1+INFI)/(1+INFM)</f>
        <v>8.3546798029556655</v>
      </c>
      <c r="D72" s="276">
        <f t="shared" si="24"/>
        <v>8.7250843262394149</v>
      </c>
      <c r="E72" s="276">
        <f t="shared" si="24"/>
        <v>9.1119107249396851</v>
      </c>
      <c r="F72" s="276">
        <f t="shared" si="24"/>
        <v>9.5158870624985887</v>
      </c>
      <c r="G72" s="276">
        <f t="shared" si="24"/>
        <v>9.9377736810330095</v>
      </c>
      <c r="H72" s="276">
        <f t="shared" si="24"/>
        <v>10.378364632408859</v>
      </c>
      <c r="I72" s="276">
        <f t="shared" si="24"/>
        <v>10.838489172761962</v>
      </c>
      <c r="J72" s="276">
        <f t="shared" si="24"/>
        <v>11.319013323278504</v>
      </c>
      <c r="K72" s="276">
        <f t="shared" si="24"/>
        <v>11.820841500172627</v>
      </c>
      <c r="L72" s="276">
        <f t="shared" si="24"/>
        <v>12.344918216929051</v>
      </c>
      <c r="M72" s="277"/>
      <c r="N72" s="277"/>
      <c r="O72" s="277"/>
      <c r="P72" s="277"/>
      <c r="Q72" s="277"/>
      <c r="R72" s="277"/>
      <c r="S72" s="277"/>
    </row>
    <row r="73" spans="1:19" s="79" customFormat="1" ht="19">
      <c r="A73" s="238"/>
      <c r="B73" s="238"/>
      <c r="C73" s="238"/>
      <c r="D73" s="238"/>
      <c r="E73" s="238"/>
      <c r="F73" s="238"/>
      <c r="G73" s="238"/>
      <c r="H73" s="238"/>
      <c r="I73" s="238"/>
      <c r="J73" s="238"/>
      <c r="K73" s="238"/>
      <c r="L73" s="238"/>
      <c r="M73" s="233"/>
      <c r="N73" s="233"/>
      <c r="O73" s="233"/>
      <c r="P73" s="233"/>
      <c r="Q73" s="233"/>
      <c r="R73" s="233"/>
      <c r="S73" s="233"/>
    </row>
    <row r="74" spans="1:19" s="79" customFormat="1" ht="19">
      <c r="A74" s="238" t="s">
        <v>261</v>
      </c>
      <c r="B74" s="238">
        <f>B70/B72</f>
        <v>2608.0395299145302</v>
      </c>
      <c r="C74" s="238">
        <f t="shared" ref="C74:L74" si="25">C70/C72</f>
        <v>1647.151823042655</v>
      </c>
      <c r="D74" s="238">
        <f t="shared" si="25"/>
        <v>280.48601971664402</v>
      </c>
      <c r="E74" s="238">
        <f t="shared" si="25"/>
        <v>-804.93101861446178</v>
      </c>
      <c r="F74" s="238">
        <f t="shared" si="25"/>
        <v>-1493.9122941534354</v>
      </c>
      <c r="G74" s="238">
        <f t="shared" si="25"/>
        <v>-1518.3093514784462</v>
      </c>
      <c r="H74" s="238">
        <f t="shared" si="25"/>
        <v>-1542.8260773913148</v>
      </c>
      <c r="I74" s="238">
        <f t="shared" si="25"/>
        <v>-1567.4815945735888</v>
      </c>
      <c r="J74" s="238">
        <f t="shared" si="25"/>
        <v>-1592.2942852006929</v>
      </c>
      <c r="K74" s="238">
        <f t="shared" si="25"/>
        <v>-1617.2818358332347</v>
      </c>
      <c r="L74" s="238">
        <f t="shared" si="25"/>
        <v>-3886.0805497405645</v>
      </c>
      <c r="M74" s="233"/>
      <c r="N74" s="233"/>
      <c r="O74" s="233"/>
      <c r="P74" s="233"/>
      <c r="Q74" s="233"/>
      <c r="R74" s="233"/>
      <c r="S74" s="233"/>
    </row>
    <row r="75" spans="1:19" ht="19">
      <c r="A75" s="242"/>
      <c r="B75" s="243"/>
      <c r="C75" s="242"/>
      <c r="D75" s="242"/>
      <c r="E75" s="242"/>
      <c r="F75" s="242"/>
      <c r="G75" s="242"/>
      <c r="H75" s="242"/>
      <c r="I75" s="242"/>
      <c r="J75" s="242"/>
      <c r="K75" s="242"/>
      <c r="L75" s="242"/>
      <c r="M75" s="231"/>
      <c r="N75" s="231"/>
      <c r="O75" s="231"/>
      <c r="P75" s="231"/>
      <c r="Q75" s="231"/>
      <c r="R75" s="231"/>
      <c r="S75" s="231"/>
    </row>
    <row r="76" spans="1:19" ht="19">
      <c r="A76" s="241" t="s">
        <v>62</v>
      </c>
      <c r="B76" s="241">
        <v>0</v>
      </c>
      <c r="C76" s="241">
        <v>1</v>
      </c>
      <c r="D76" s="241">
        <f>C76+1</f>
        <v>2</v>
      </c>
      <c r="E76" s="241">
        <f t="shared" ref="E76" si="26">D76+1</f>
        <v>3</v>
      </c>
      <c r="F76" s="241">
        <f t="shared" ref="F76" si="27">E76+1</f>
        <v>4</v>
      </c>
      <c r="G76" s="241">
        <f t="shared" ref="G76" si="28">F76+1</f>
        <v>5</v>
      </c>
      <c r="H76" s="241">
        <f t="shared" ref="H76" si="29">G76+1</f>
        <v>6</v>
      </c>
      <c r="I76" s="241">
        <f t="shared" ref="I76" si="30">H76+1</f>
        <v>7</v>
      </c>
      <c r="J76" s="241">
        <f t="shared" ref="J76" si="31">I76+1</f>
        <v>8</v>
      </c>
      <c r="K76" s="241">
        <f t="shared" ref="K76" si="32">J76+1</f>
        <v>9</v>
      </c>
      <c r="L76" s="241">
        <f t="shared" ref="L76" si="33">K76+1</f>
        <v>10</v>
      </c>
      <c r="M76" s="231"/>
      <c r="N76" s="231"/>
      <c r="O76" s="231"/>
      <c r="P76" s="231"/>
      <c r="Q76" s="231"/>
      <c r="R76" s="231"/>
      <c r="S76" s="231"/>
    </row>
    <row r="77" spans="1:19" ht="19">
      <c r="A77" s="244"/>
      <c r="B77" s="245"/>
      <c r="C77" s="244"/>
      <c r="D77" s="244"/>
      <c r="E77" s="244"/>
      <c r="F77" s="244"/>
      <c r="G77" s="244"/>
      <c r="H77" s="244"/>
      <c r="I77" s="244"/>
      <c r="J77" s="244"/>
      <c r="K77" s="244"/>
      <c r="L77" s="244"/>
      <c r="M77" s="231"/>
      <c r="N77" s="231"/>
      <c r="O77" s="231"/>
      <c r="P77" s="231"/>
      <c r="Q77" s="231"/>
      <c r="R77" s="231"/>
      <c r="S77" s="231"/>
    </row>
    <row r="78" spans="1:19" ht="19">
      <c r="A78" s="234" t="s">
        <v>69</v>
      </c>
      <c r="B78" s="234">
        <f>D12</f>
        <v>25000</v>
      </c>
      <c r="C78" s="234">
        <f>B78</f>
        <v>25000</v>
      </c>
      <c r="D78" s="234">
        <f t="shared" ref="D78:K78" si="34">C78</f>
        <v>25000</v>
      </c>
      <c r="E78" s="234">
        <f t="shared" si="34"/>
        <v>25000</v>
      </c>
      <c r="F78" s="234">
        <f t="shared" si="34"/>
        <v>25000</v>
      </c>
      <c r="G78" s="234">
        <f t="shared" si="34"/>
        <v>25000</v>
      </c>
      <c r="H78" s="234">
        <f t="shared" si="34"/>
        <v>25000</v>
      </c>
      <c r="I78" s="234">
        <f t="shared" si="34"/>
        <v>25000</v>
      </c>
      <c r="J78" s="234">
        <f t="shared" si="34"/>
        <v>25000</v>
      </c>
      <c r="K78" s="234">
        <f t="shared" si="34"/>
        <v>25000</v>
      </c>
      <c r="L78" s="234">
        <v>0</v>
      </c>
      <c r="M78" s="231"/>
      <c r="N78" s="231"/>
      <c r="O78" s="231"/>
      <c r="P78" s="231"/>
      <c r="Q78" s="231"/>
      <c r="R78" s="231"/>
      <c r="S78" s="231"/>
    </row>
    <row r="79" spans="1:19" ht="19">
      <c r="A79" s="234" t="s">
        <v>70</v>
      </c>
      <c r="B79" s="234"/>
      <c r="C79" s="234">
        <f>C55</f>
        <v>-2500</v>
      </c>
      <c r="D79" s="234">
        <f t="shared" ref="D79:K79" si="35">C79+D55</f>
        <v>-5000</v>
      </c>
      <c r="E79" s="234">
        <f t="shared" si="35"/>
        <v>-7500</v>
      </c>
      <c r="F79" s="234">
        <f t="shared" si="35"/>
        <v>-10000</v>
      </c>
      <c r="G79" s="234">
        <f t="shared" si="35"/>
        <v>-12500</v>
      </c>
      <c r="H79" s="234">
        <f t="shared" si="35"/>
        <v>-15000</v>
      </c>
      <c r="I79" s="234">
        <f t="shared" si="35"/>
        <v>-17500</v>
      </c>
      <c r="J79" s="234">
        <f t="shared" si="35"/>
        <v>-20000</v>
      </c>
      <c r="K79" s="234">
        <f t="shared" si="35"/>
        <v>-22500</v>
      </c>
      <c r="L79" s="234">
        <v>0</v>
      </c>
      <c r="M79" s="231"/>
      <c r="N79" s="231"/>
      <c r="O79" s="231"/>
      <c r="P79" s="231"/>
      <c r="Q79" s="231"/>
      <c r="R79" s="231"/>
      <c r="S79" s="231"/>
    </row>
    <row r="80" spans="1:19" ht="19">
      <c r="A80" s="234"/>
      <c r="B80" s="234"/>
      <c r="C80" s="234"/>
      <c r="D80" s="234"/>
      <c r="E80" s="234"/>
      <c r="F80" s="234"/>
      <c r="G80" s="234"/>
      <c r="H80" s="234"/>
      <c r="I80" s="234"/>
      <c r="J80" s="234"/>
      <c r="K80" s="234"/>
      <c r="L80" s="234"/>
      <c r="M80" s="231"/>
      <c r="N80" s="231"/>
      <c r="O80" s="231"/>
      <c r="P80" s="231"/>
      <c r="Q80" s="231"/>
      <c r="R80" s="231"/>
      <c r="S80" s="231"/>
    </row>
    <row r="81" spans="1:19" ht="19">
      <c r="A81" s="238" t="s">
        <v>240</v>
      </c>
      <c r="B81" s="238">
        <f>B78+B79</f>
        <v>25000</v>
      </c>
      <c r="C81" s="238">
        <f>C78+C79</f>
        <v>22500</v>
      </c>
      <c r="D81" s="238">
        <f t="shared" ref="D81:L81" si="36">D78+D79</f>
        <v>20000</v>
      </c>
      <c r="E81" s="238">
        <f t="shared" si="36"/>
        <v>17500</v>
      </c>
      <c r="F81" s="238">
        <f t="shared" si="36"/>
        <v>15000</v>
      </c>
      <c r="G81" s="238">
        <f t="shared" si="36"/>
        <v>12500</v>
      </c>
      <c r="H81" s="238">
        <f t="shared" si="36"/>
        <v>10000</v>
      </c>
      <c r="I81" s="238">
        <f t="shared" si="36"/>
        <v>7500</v>
      </c>
      <c r="J81" s="238">
        <f t="shared" si="36"/>
        <v>5000</v>
      </c>
      <c r="K81" s="238">
        <f t="shared" si="36"/>
        <v>2500</v>
      </c>
      <c r="L81" s="238">
        <f t="shared" si="36"/>
        <v>0</v>
      </c>
      <c r="M81" s="231"/>
      <c r="N81" s="231"/>
      <c r="O81" s="231"/>
      <c r="P81" s="231"/>
      <c r="Q81" s="231"/>
      <c r="R81" s="231"/>
      <c r="S81" s="231"/>
    </row>
    <row r="82" spans="1:19" ht="19">
      <c r="A82" s="234"/>
      <c r="B82" s="234"/>
      <c r="C82" s="234"/>
      <c r="D82" s="234"/>
      <c r="E82" s="234"/>
      <c r="F82" s="234"/>
      <c r="G82" s="234"/>
      <c r="H82" s="234"/>
      <c r="I82" s="234"/>
      <c r="J82" s="234"/>
      <c r="K82" s="234"/>
      <c r="L82" s="234"/>
      <c r="M82" s="231"/>
      <c r="N82" s="231"/>
      <c r="O82" s="231"/>
      <c r="P82" s="231"/>
      <c r="Q82" s="231"/>
      <c r="R82" s="231"/>
      <c r="S82" s="231"/>
    </row>
    <row r="83" spans="1:19" ht="19">
      <c r="A83" s="246" t="s">
        <v>54</v>
      </c>
      <c r="B83" s="234">
        <f>$D29*'Calcul des coûts'!$C$13*C42*((1+$D22)^B40)/12000</f>
        <v>743.58974358974365</v>
      </c>
      <c r="C83" s="234">
        <f>$D29*'Calcul des coûts'!$C$13*D42*((1+$D22)^C40)/12000</f>
        <v>1970.5128205128206</v>
      </c>
      <c r="D83" s="234">
        <f>$D29*'Calcul des coûts'!$C$13*E42*((1+$D22)^D40)/12000</f>
        <v>3341.9897435897446</v>
      </c>
      <c r="E83" s="234">
        <f>$D29*'Calcul des coûts'!$C$13*F42*((1+$D22)^E40)/12000</f>
        <v>4428.1364102564112</v>
      </c>
      <c r="F83" s="234">
        <f>$D29*'Calcul des coûts'!$C$13*G42*((1+$D22)^F40)/12000</f>
        <v>4693.8245948717959</v>
      </c>
      <c r="G83" s="234">
        <f>$D29*'Calcul des coûts'!$C$13*H42*((1+$D22)^G40)/12000</f>
        <v>4975.4540705641039</v>
      </c>
      <c r="H83" s="234">
        <f>$D29*'Calcul des coûts'!$C$13*I42*((1+$D22)^H40)/12000</f>
        <v>5273.9813147979512</v>
      </c>
      <c r="I83" s="234">
        <f>$D29*'Calcul des coûts'!$C$13*J42*((1+$D22)^I40)/12000</f>
        <v>5590.420193685829</v>
      </c>
      <c r="J83" s="234">
        <f>$D29*'Calcul des coûts'!$C$13*K42*((1+$D22)^J40)/12000</f>
        <v>5925.8454053069772</v>
      </c>
      <c r="K83" s="234">
        <f>$D29*'Calcul des coûts'!$C$13*L42*((1+$D22)^K40)/12000</f>
        <v>6281.3961296253965</v>
      </c>
      <c r="L83" s="234">
        <v>0</v>
      </c>
      <c r="M83" s="282"/>
      <c r="N83" s="283"/>
      <c r="O83" s="283"/>
      <c r="P83" s="231"/>
      <c r="Q83" s="231"/>
      <c r="R83" s="231"/>
      <c r="S83" s="231"/>
    </row>
    <row r="84" spans="1:19" ht="19">
      <c r="A84" s="246" t="s">
        <v>52</v>
      </c>
      <c r="B84" s="234">
        <f t="shared" ref="B84:K84" si="37">$D28*CRVU*C42*((1+$D22)^B40)/12000</f>
        <v>408.97435897435901</v>
      </c>
      <c r="C84" s="234">
        <f t="shared" si="37"/>
        <v>1083.7820512820513</v>
      </c>
      <c r="D84" s="234">
        <f t="shared" si="37"/>
        <v>1838.0943589743592</v>
      </c>
      <c r="E84" s="234">
        <f t="shared" si="37"/>
        <v>2435.4750256410261</v>
      </c>
      <c r="F84" s="234">
        <f t="shared" si="37"/>
        <v>2581.6035271794881</v>
      </c>
      <c r="G84" s="234">
        <f t="shared" si="37"/>
        <v>2736.4997388102579</v>
      </c>
      <c r="H84" s="234">
        <f t="shared" si="37"/>
        <v>2900.689723138873</v>
      </c>
      <c r="I84" s="234">
        <f t="shared" si="37"/>
        <v>3074.7311065272061</v>
      </c>
      <c r="J84" s="234">
        <f t="shared" si="37"/>
        <v>3259.2149729188382</v>
      </c>
      <c r="K84" s="234">
        <f t="shared" si="37"/>
        <v>3454.7678712939683</v>
      </c>
      <c r="L84" s="234">
        <v>0</v>
      </c>
      <c r="M84" s="282"/>
      <c r="N84" s="283"/>
      <c r="O84" s="283"/>
      <c r="P84" s="231"/>
      <c r="Q84" s="231"/>
      <c r="R84" s="231"/>
      <c r="S84" s="231"/>
    </row>
    <row r="85" spans="1:19" ht="19">
      <c r="A85" s="246" t="s">
        <v>71</v>
      </c>
      <c r="B85" s="234"/>
      <c r="C85" s="234">
        <f>$D30*D44/360</f>
        <v>9737.8666666666686</v>
      </c>
      <c r="D85" s="234">
        <f t="shared" ref="D85:K85" si="38">$D30*E44/360</f>
        <v>16515.421866666671</v>
      </c>
      <c r="E85" s="234">
        <f t="shared" si="38"/>
        <v>21882.933973333336</v>
      </c>
      <c r="F85" s="234">
        <f t="shared" si="38"/>
        <v>23195.910011733344</v>
      </c>
      <c r="G85" s="234">
        <f t="shared" si="38"/>
        <v>24587.66461243734</v>
      </c>
      <c r="H85" s="234">
        <f t="shared" si="38"/>
        <v>26062.924489183588</v>
      </c>
      <c r="I85" s="234">
        <f t="shared" si="38"/>
        <v>27626.699958534595</v>
      </c>
      <c r="J85" s="234">
        <f t="shared" si="38"/>
        <v>29284.301956046678</v>
      </c>
      <c r="K85" s="234">
        <f t="shared" si="38"/>
        <v>31041.360073409476</v>
      </c>
      <c r="L85" s="234">
        <v>0</v>
      </c>
      <c r="M85" s="282"/>
      <c r="N85" s="283"/>
      <c r="O85" s="283"/>
      <c r="P85" s="283"/>
      <c r="Q85" s="283"/>
      <c r="R85" s="283"/>
      <c r="S85" s="231"/>
    </row>
    <row r="86" spans="1:19" ht="19">
      <c r="A86" s="246" t="s">
        <v>72</v>
      </c>
      <c r="B86" s="234">
        <f>$D31*C42*'Calcul des coûts'!$C$13*((1+$D22)^B40)/360000</f>
        <v>1115.3846153846155</v>
      </c>
      <c r="C86" s="234">
        <f>$D31*D42*'Calcul des coûts'!$C$13*((1+$D22)^C40)/360000</f>
        <v>2955.7692307692309</v>
      </c>
      <c r="D86" s="234">
        <f>$D31*E42*'Calcul des coûts'!$C$13*((1+$D22)^D40)/360000</f>
        <v>5012.9846153846165</v>
      </c>
      <c r="E86" s="234">
        <f>$D31*F42*'Calcul des coûts'!$C$13*((1+$D22)^E40)/360000</f>
        <v>6642.2046153846168</v>
      </c>
      <c r="F86" s="234">
        <f>$D31*G42*'Calcul des coûts'!$C$13*((1+$D22)^F40)/360000</f>
        <v>7040.7368923076947</v>
      </c>
      <c r="G86" s="234">
        <f>$D31*H42*'Calcul des coûts'!$C$13*((1+$D22)^G40)/360000</f>
        <v>7463.1811058461562</v>
      </c>
      <c r="H86" s="234">
        <f>$D31*I42*'Calcul des coûts'!$C$13*((1+$D22)^H40)/360000</f>
        <v>7910.9719721969259</v>
      </c>
      <c r="I86" s="234">
        <f>$D31*J42*'Calcul des coûts'!$C$13*((1+$D22)^I40)/360000</f>
        <v>8385.630290528743</v>
      </c>
      <c r="J86" s="234">
        <f>$D31*K42*'Calcul des coûts'!$C$13*((1+$D22)^J40)/360000</f>
        <v>8888.7681079604663</v>
      </c>
      <c r="K86" s="234">
        <f>$D31*L42*'Calcul des coûts'!$C$13*((1+$D22)^K40)/360000</f>
        <v>9422.0941944380938</v>
      </c>
      <c r="L86" s="234">
        <v>0</v>
      </c>
      <c r="M86" s="282"/>
      <c r="N86" s="283"/>
      <c r="O86" s="283"/>
      <c r="P86" s="283"/>
      <c r="Q86" s="283"/>
      <c r="R86" s="283"/>
      <c r="S86" s="231"/>
    </row>
    <row r="87" spans="1:19" ht="19">
      <c r="A87" s="246"/>
      <c r="B87" s="234"/>
      <c r="C87" s="234"/>
      <c r="D87" s="234"/>
      <c r="E87" s="234"/>
      <c r="F87" s="234"/>
      <c r="G87" s="234"/>
      <c r="H87" s="234"/>
      <c r="I87" s="234"/>
      <c r="J87" s="234"/>
      <c r="K87" s="234"/>
      <c r="L87" s="234"/>
      <c r="M87" s="282"/>
      <c r="N87" s="283"/>
      <c r="O87" s="283"/>
      <c r="P87" s="283"/>
      <c r="Q87" s="283"/>
      <c r="R87" s="283"/>
      <c r="S87" s="231"/>
    </row>
    <row r="88" spans="1:19" ht="19">
      <c r="A88" s="247" t="s">
        <v>241</v>
      </c>
      <c r="B88" s="238">
        <f>B83+B84+B85-B86</f>
        <v>37.179487179487069</v>
      </c>
      <c r="C88" s="238">
        <f t="shared" ref="C88:L88" si="39">C83+C84+C85-C86</f>
        <v>9836.3923076923093</v>
      </c>
      <c r="D88" s="238">
        <f t="shared" si="39"/>
        <v>16682.521353846161</v>
      </c>
      <c r="E88" s="238">
        <f t="shared" si="39"/>
        <v>22104.340793846157</v>
      </c>
      <c r="F88" s="238">
        <f t="shared" si="39"/>
        <v>23430.601241476936</v>
      </c>
      <c r="G88" s="238">
        <f t="shared" si="39"/>
        <v>24836.437315965544</v>
      </c>
      <c r="H88" s="238">
        <f t="shared" si="39"/>
        <v>26326.623554923488</v>
      </c>
      <c r="I88" s="238">
        <f t="shared" si="39"/>
        <v>27906.220968218884</v>
      </c>
      <c r="J88" s="238">
        <f t="shared" si="39"/>
        <v>29580.594226312023</v>
      </c>
      <c r="K88" s="238">
        <f t="shared" si="39"/>
        <v>31355.429879890751</v>
      </c>
      <c r="L88" s="238">
        <f t="shared" si="39"/>
        <v>0</v>
      </c>
      <c r="M88" s="231"/>
      <c r="N88" s="231"/>
      <c r="O88" s="231"/>
      <c r="P88" s="231"/>
      <c r="Q88" s="231"/>
      <c r="R88" s="231"/>
      <c r="S88" s="231"/>
    </row>
    <row r="89" spans="1:19" ht="19">
      <c r="A89" s="247"/>
      <c r="B89" s="238"/>
      <c r="C89" s="238"/>
      <c r="D89" s="238"/>
      <c r="E89" s="238"/>
      <c r="F89" s="238"/>
      <c r="G89" s="238"/>
      <c r="H89" s="238"/>
      <c r="I89" s="238"/>
      <c r="J89" s="238"/>
      <c r="K89" s="238"/>
      <c r="L89" s="238"/>
      <c r="M89" s="231"/>
      <c r="N89" s="231"/>
      <c r="O89" s="231"/>
      <c r="P89" s="231"/>
      <c r="Q89" s="231"/>
      <c r="R89" s="231"/>
      <c r="S89" s="231"/>
    </row>
    <row r="90" spans="1:19" ht="19">
      <c r="A90" s="56" t="s">
        <v>242</v>
      </c>
      <c r="B90" s="60">
        <f>B81+B88</f>
        <v>25037.179487179488</v>
      </c>
      <c r="C90" s="60">
        <f t="shared" ref="C90:L90" si="40">C81+C88</f>
        <v>32336.392307692309</v>
      </c>
      <c r="D90" s="60">
        <f t="shared" si="40"/>
        <v>36682.521353846161</v>
      </c>
      <c r="E90" s="60">
        <f t="shared" si="40"/>
        <v>39604.340793846161</v>
      </c>
      <c r="F90" s="60">
        <f t="shared" si="40"/>
        <v>38430.601241476936</v>
      </c>
      <c r="G90" s="60">
        <f t="shared" si="40"/>
        <v>37336.437315965544</v>
      </c>
      <c r="H90" s="60">
        <f t="shared" si="40"/>
        <v>36326.623554923484</v>
      </c>
      <c r="I90" s="60">
        <f t="shared" si="40"/>
        <v>35406.220968218884</v>
      </c>
      <c r="J90" s="60">
        <f t="shared" si="40"/>
        <v>34580.594226312023</v>
      </c>
      <c r="K90" s="60">
        <f t="shared" si="40"/>
        <v>33855.429879890755</v>
      </c>
      <c r="L90" s="60">
        <f t="shared" si="40"/>
        <v>0</v>
      </c>
      <c r="N90" s="207"/>
    </row>
    <row r="91" spans="1:19" ht="19">
      <c r="A91" s="62"/>
      <c r="B91" s="63"/>
      <c r="C91" s="62"/>
      <c r="D91" s="62"/>
      <c r="E91" s="62"/>
      <c r="F91" s="62"/>
      <c r="G91" s="62"/>
      <c r="H91" s="62"/>
      <c r="I91" s="62"/>
      <c r="J91" s="62"/>
      <c r="K91" s="62"/>
      <c r="L91" s="62"/>
    </row>
    <row r="92" spans="1:19" ht="19">
      <c r="A92" s="241" t="s">
        <v>62</v>
      </c>
      <c r="B92" s="241">
        <v>0</v>
      </c>
      <c r="C92" s="241">
        <v>1</v>
      </c>
      <c r="D92" s="241">
        <f>C92+1</f>
        <v>2</v>
      </c>
      <c r="E92" s="241">
        <f t="shared" ref="E92" si="41">D92+1</f>
        <v>3</v>
      </c>
      <c r="F92" s="241">
        <f t="shared" ref="F92" si="42">E92+1</f>
        <v>4</v>
      </c>
      <c r="G92" s="241">
        <f t="shared" ref="G92" si="43">F92+1</f>
        <v>5</v>
      </c>
      <c r="H92" s="241">
        <f t="shared" ref="H92" si="44">G92+1</f>
        <v>6</v>
      </c>
      <c r="I92" s="241">
        <f t="shared" ref="I92" si="45">H92+1</f>
        <v>7</v>
      </c>
      <c r="J92" s="241">
        <f t="shared" ref="J92" si="46">I92+1</f>
        <v>8</v>
      </c>
      <c r="K92" s="241">
        <f t="shared" ref="K92" si="47">J92+1</f>
        <v>9</v>
      </c>
      <c r="L92" s="241">
        <f t="shared" ref="L92" si="48">K92+1</f>
        <v>10</v>
      </c>
    </row>
    <row r="93" spans="1:19" ht="19">
      <c r="A93" s="58"/>
      <c r="B93" s="59"/>
      <c r="C93" s="58"/>
      <c r="D93" s="58"/>
      <c r="E93" s="58"/>
      <c r="F93" s="58"/>
      <c r="G93" s="58"/>
      <c r="H93" s="58"/>
      <c r="I93" s="58"/>
      <c r="J93" s="58"/>
      <c r="K93" s="58"/>
      <c r="L93" s="58"/>
    </row>
    <row r="94" spans="1:19" ht="19">
      <c r="A94" s="58" t="s">
        <v>131</v>
      </c>
      <c r="B94" s="58">
        <f>B101*CMPC!C16</f>
        <v>20864.316239316242</v>
      </c>
      <c r="C94" s="58">
        <f>C97-C95</f>
        <v>34625.742307692315</v>
      </c>
      <c r="D94" s="58">
        <f>D97-D95</f>
        <v>37073.006482051285</v>
      </c>
      <c r="E94" s="58">
        <f>E97-E95</f>
        <v>29738.546900701545</v>
      </c>
      <c r="F94" s="58">
        <f t="shared" ref="F94:J94" si="49">F97-F95</f>
        <v>15522.646228259284</v>
      </c>
      <c r="G94" s="58">
        <f t="shared" si="49"/>
        <v>434.03151547048401</v>
      </c>
      <c r="H94" s="58">
        <f t="shared" si="49"/>
        <v>-15577.980080085632</v>
      </c>
      <c r="I94" s="58">
        <f>I97-I95</f>
        <v>-32567.112371375129</v>
      </c>
      <c r="J94" s="58">
        <f t="shared" si="49"/>
        <v>-50590.312600141995</v>
      </c>
      <c r="K94" s="58">
        <f>K97-K95</f>
        <v>-69707.944842634868</v>
      </c>
      <c r="L94" s="58">
        <f>-L95</f>
        <v>-117681.29141358082</v>
      </c>
    </row>
    <row r="95" spans="1:19" ht="19">
      <c r="A95" s="58" t="s">
        <v>132</v>
      </c>
      <c r="B95" s="58">
        <v>0</v>
      </c>
      <c r="C95" s="58">
        <f>B95+C66</f>
        <v>-7678.748717948718</v>
      </c>
      <c r="D95" s="58">
        <f>C95+D66</f>
        <v>-6504.2386871794852</v>
      </c>
      <c r="E95" s="58">
        <f t="shared" ref="E95:K95" si="50">D95+E66</f>
        <v>3265.0704275035923</v>
      </c>
      <c r="F95" s="58">
        <f t="shared" si="50"/>
        <v>16502.854806304829</v>
      </c>
      <c r="G95" s="58">
        <f>F95+G66</f>
        <v>30679.666247834139</v>
      </c>
      <c r="H95" s="58">
        <f>G95+H66</f>
        <v>45850.166375855202</v>
      </c>
      <c r="I95" s="58">
        <f t="shared" si="50"/>
        <v>62072.296511557535</v>
      </c>
      <c r="J95" s="58">
        <f>I95+J66</f>
        <v>79407.474455402014</v>
      </c>
      <c r="K95" s="58">
        <f t="shared" si="50"/>
        <v>97920.803075877164</v>
      </c>
      <c r="L95" s="58">
        <f>K95+L66</f>
        <v>117681.29141358082</v>
      </c>
    </row>
    <row r="96" spans="1:19" ht="19">
      <c r="A96" s="58"/>
      <c r="B96" s="58"/>
      <c r="C96" s="58"/>
      <c r="D96" s="58"/>
      <c r="E96" s="58"/>
      <c r="F96" s="58"/>
      <c r="G96" s="58"/>
      <c r="H96" s="58"/>
      <c r="I96" s="58"/>
      <c r="J96" s="58"/>
      <c r="K96" s="58"/>
      <c r="L96" s="58"/>
    </row>
    <row r="97" spans="1:16" ht="19">
      <c r="A97" s="60" t="s">
        <v>243</v>
      </c>
      <c r="B97" s="60">
        <f>B94+B95</f>
        <v>20864.316239316242</v>
      </c>
      <c r="C97" s="60">
        <f>C90*CMPC!$C16</f>
        <v>26946.993589743593</v>
      </c>
      <c r="D97" s="60">
        <f>D90*CMPC!$C16</f>
        <v>30568.767794871801</v>
      </c>
      <c r="E97" s="60">
        <f>E90*CMPC!$C16</f>
        <v>33003.617328205139</v>
      </c>
      <c r="F97" s="60">
        <f>F90*CMPC!$C16</f>
        <v>32025.501034564113</v>
      </c>
      <c r="G97" s="60">
        <f>G90*CMPC!$C16</f>
        <v>31113.697763304623</v>
      </c>
      <c r="H97" s="60">
        <f>H90*CMPC!$C16</f>
        <v>30272.18629576957</v>
      </c>
      <c r="I97" s="60">
        <f>I90*CMPC!$C16</f>
        <v>29505.184140182406</v>
      </c>
      <c r="J97" s="60">
        <f>J90*CMPC!$C16</f>
        <v>28817.161855260019</v>
      </c>
      <c r="K97" s="60">
        <f>K90*CMPC!$C16</f>
        <v>28212.858233242296</v>
      </c>
      <c r="L97" s="60">
        <f>L94+L95</f>
        <v>0</v>
      </c>
      <c r="M97" s="76"/>
    </row>
    <row r="98" spans="1:16" ht="19">
      <c r="A98" s="60"/>
      <c r="B98" s="60"/>
      <c r="C98" s="60"/>
      <c r="D98" s="60"/>
      <c r="E98" s="60"/>
      <c r="F98" s="60"/>
      <c r="G98" s="60"/>
      <c r="H98" s="60"/>
      <c r="I98" s="60"/>
      <c r="J98" s="60"/>
      <c r="K98" s="60"/>
      <c r="L98" s="60"/>
    </row>
    <row r="99" spans="1:16" ht="19">
      <c r="A99" s="60" t="s">
        <v>244</v>
      </c>
      <c r="B99" s="60">
        <f>B101-B97</f>
        <v>4172.8632478632462</v>
      </c>
      <c r="C99" s="60">
        <f>C101-C97</f>
        <v>5389.3987179487158</v>
      </c>
      <c r="D99" s="60">
        <f t="shared" ref="D99:L99" si="51">D101-D97</f>
        <v>6113.7535589743602</v>
      </c>
      <c r="E99" s="60">
        <f t="shared" si="51"/>
        <v>6600.7234656410219</v>
      </c>
      <c r="F99" s="60">
        <f t="shared" si="51"/>
        <v>6405.1002069128226</v>
      </c>
      <c r="G99" s="60">
        <f t="shared" si="51"/>
        <v>6222.7395526609216</v>
      </c>
      <c r="H99" s="60">
        <f t="shared" si="51"/>
        <v>6054.4372591539141</v>
      </c>
      <c r="I99" s="60">
        <f t="shared" si="51"/>
        <v>5901.0368280364783</v>
      </c>
      <c r="J99" s="60">
        <f t="shared" si="51"/>
        <v>5763.4323710520039</v>
      </c>
      <c r="K99" s="60">
        <f>K101-K97</f>
        <v>5642.5716466484591</v>
      </c>
      <c r="L99" s="60">
        <f t="shared" si="51"/>
        <v>0</v>
      </c>
    </row>
    <row r="100" spans="1:16" ht="19">
      <c r="A100" s="60"/>
      <c r="B100" s="60"/>
      <c r="C100" s="60"/>
      <c r="D100" s="60"/>
      <c r="E100" s="60"/>
      <c r="F100" s="60"/>
      <c r="G100" s="60"/>
      <c r="H100" s="60"/>
      <c r="I100" s="60"/>
      <c r="J100" s="60"/>
      <c r="K100" s="60"/>
      <c r="L100" s="60"/>
    </row>
    <row r="101" spans="1:16" ht="19">
      <c r="A101" s="60" t="s">
        <v>245</v>
      </c>
      <c r="B101" s="60">
        <f>B90</f>
        <v>25037.179487179488</v>
      </c>
      <c r="C101" s="60">
        <f t="shared" ref="C101:L101" si="52">C90</f>
        <v>32336.392307692309</v>
      </c>
      <c r="D101" s="60">
        <f t="shared" si="52"/>
        <v>36682.521353846161</v>
      </c>
      <c r="E101" s="60">
        <f t="shared" si="52"/>
        <v>39604.340793846161</v>
      </c>
      <c r="F101" s="60">
        <f t="shared" si="52"/>
        <v>38430.601241476936</v>
      </c>
      <c r="G101" s="60">
        <f t="shared" si="52"/>
        <v>37336.437315965544</v>
      </c>
      <c r="H101" s="60">
        <f t="shared" si="52"/>
        <v>36326.623554923484</v>
      </c>
      <c r="I101" s="60">
        <f t="shared" si="52"/>
        <v>35406.220968218884</v>
      </c>
      <c r="J101" s="60">
        <f t="shared" si="52"/>
        <v>34580.594226312023</v>
      </c>
      <c r="K101" s="60">
        <f t="shared" si="52"/>
        <v>33855.429879890755</v>
      </c>
      <c r="L101" s="60">
        <f t="shared" si="52"/>
        <v>0</v>
      </c>
    </row>
    <row r="102" spans="1:16" ht="19">
      <c r="A102" s="58"/>
      <c r="B102" s="58"/>
      <c r="C102" s="58"/>
      <c r="D102" s="58"/>
      <c r="E102" s="58"/>
      <c r="F102" s="58"/>
      <c r="G102" s="58"/>
      <c r="H102" s="58"/>
      <c r="I102" s="58"/>
      <c r="J102" s="58"/>
      <c r="K102" s="58"/>
      <c r="L102" s="58"/>
    </row>
    <row r="103" spans="1:16" ht="19">
      <c r="A103" s="64"/>
      <c r="B103" s="65"/>
      <c r="C103" s="64"/>
      <c r="D103" s="64"/>
      <c r="E103" s="64"/>
      <c r="F103" s="64"/>
      <c r="G103" s="64"/>
      <c r="H103" s="64"/>
      <c r="I103" s="64"/>
      <c r="J103" s="64"/>
      <c r="K103" s="64"/>
      <c r="L103" s="64"/>
    </row>
    <row r="104" spans="1:16" ht="19">
      <c r="A104" s="60" t="s">
        <v>186</v>
      </c>
      <c r="B104" s="59"/>
      <c r="C104" s="58"/>
      <c r="D104" s="58"/>
      <c r="E104" s="58"/>
      <c r="F104" s="58"/>
      <c r="G104" s="58"/>
      <c r="H104" s="58"/>
      <c r="I104" s="58"/>
      <c r="J104" s="58"/>
      <c r="K104" s="58"/>
      <c r="L104" s="58"/>
    </row>
    <row r="105" spans="1:16" ht="19">
      <c r="A105" s="58"/>
      <c r="B105" s="59"/>
      <c r="C105" s="58"/>
      <c r="D105" s="58"/>
      <c r="E105" s="58"/>
      <c r="F105" s="58"/>
      <c r="G105" s="58"/>
      <c r="H105" s="58"/>
      <c r="I105" s="58"/>
      <c r="J105" s="58"/>
      <c r="K105" s="58"/>
      <c r="L105" s="58"/>
    </row>
    <row r="106" spans="1:16" ht="19">
      <c r="A106" s="66" t="s">
        <v>73</v>
      </c>
      <c r="B106" s="67"/>
      <c r="C106" s="67">
        <f>C49/C44</f>
        <v>0.52810650887573962</v>
      </c>
      <c r="D106" s="67">
        <f t="shared" ref="D106:L106" si="53">D49/D44</f>
        <v>0.52810650887573962</v>
      </c>
      <c r="E106" s="67">
        <f t="shared" si="53"/>
        <v>0.52810650887573962</v>
      </c>
      <c r="F106" s="67">
        <f t="shared" si="53"/>
        <v>0.52810650887573973</v>
      </c>
      <c r="G106" s="67">
        <f t="shared" si="53"/>
        <v>0.52810650887573962</v>
      </c>
      <c r="H106" s="67">
        <f t="shared" si="53"/>
        <v>0.52810650887573951</v>
      </c>
      <c r="I106" s="67">
        <f t="shared" si="53"/>
        <v>0.52810650887573962</v>
      </c>
      <c r="J106" s="67">
        <f t="shared" si="53"/>
        <v>0.52810650887573973</v>
      </c>
      <c r="K106" s="67">
        <f t="shared" si="53"/>
        <v>0.52810650887573962</v>
      </c>
      <c r="L106" s="67">
        <f t="shared" si="53"/>
        <v>0.52810650887573962</v>
      </c>
    </row>
    <row r="107" spans="1:16" ht="19">
      <c r="A107" s="66" t="s">
        <v>74</v>
      </c>
      <c r="B107" s="67"/>
      <c r="C107" s="67">
        <f>C53/C44</f>
        <v>-0.43343195266272194</v>
      </c>
      <c r="D107" s="67">
        <f t="shared" ref="D107:L107" si="54">D53/D44</f>
        <v>0.14349112426035507</v>
      </c>
      <c r="E107" s="67">
        <f t="shared" si="54"/>
        <v>0.2877218934911242</v>
      </c>
      <c r="F107" s="67">
        <f t="shared" si="54"/>
        <v>0.33579881656804739</v>
      </c>
      <c r="G107" s="67">
        <f t="shared" si="54"/>
        <v>0.33579881656804733</v>
      </c>
      <c r="H107" s="67">
        <f t="shared" si="54"/>
        <v>0.33579881656804722</v>
      </c>
      <c r="I107" s="67">
        <f t="shared" si="54"/>
        <v>0.33579881656804733</v>
      </c>
      <c r="J107" s="67">
        <f t="shared" si="54"/>
        <v>0.33579881656804739</v>
      </c>
      <c r="K107" s="67">
        <f t="shared" si="54"/>
        <v>0.33579881656804739</v>
      </c>
      <c r="L107" s="67">
        <f t="shared" si="54"/>
        <v>0.33579881656804733</v>
      </c>
    </row>
    <row r="108" spans="1:16" ht="19">
      <c r="A108" s="66" t="s">
        <v>75</v>
      </c>
      <c r="B108" s="67"/>
      <c r="C108" s="67">
        <f>C57/C44</f>
        <v>-0.66020989170481192</v>
      </c>
      <c r="D108" s="67">
        <f t="shared" ref="D108:L108" si="55">D57/D44</f>
        <v>5.7914543489755076E-2</v>
      </c>
      <c r="E108" s="67">
        <f t="shared" si="55"/>
        <v>0.23726400388581761</v>
      </c>
      <c r="F108" s="67">
        <f t="shared" si="55"/>
        <v>0.29771739045083484</v>
      </c>
      <c r="G108" s="67">
        <f t="shared" si="55"/>
        <v>0.29987294287256383</v>
      </c>
      <c r="H108" s="67">
        <f t="shared" si="55"/>
        <v>0.30190648289306282</v>
      </c>
      <c r="I108" s="67">
        <f t="shared" si="55"/>
        <v>0.30382491687466578</v>
      </c>
      <c r="J108" s="67">
        <f t="shared" si="55"/>
        <v>0.30563476025353653</v>
      </c>
      <c r="K108" s="67">
        <f t="shared" si="55"/>
        <v>0.3073421596675654</v>
      </c>
      <c r="L108" s="67">
        <f t="shared" si="55"/>
        <v>0.30895291383174361</v>
      </c>
    </row>
    <row r="109" spans="1:16" ht="19">
      <c r="A109" s="66" t="s">
        <v>76</v>
      </c>
      <c r="B109" s="67"/>
      <c r="C109" s="67">
        <f>C88/C44</f>
        <v>0.89227071005917169</v>
      </c>
      <c r="D109" s="67">
        <f t="shared" ref="D109:L109" si="56">D88/D44</f>
        <v>0.57105325443786992</v>
      </c>
      <c r="E109" s="67">
        <f t="shared" si="56"/>
        <v>0.44613535502958573</v>
      </c>
      <c r="F109" s="67">
        <f t="shared" si="56"/>
        <v>0.35690828402366875</v>
      </c>
      <c r="G109" s="67">
        <f t="shared" si="56"/>
        <v>0.35690828402366859</v>
      </c>
      <c r="H109" s="67">
        <f t="shared" si="56"/>
        <v>0.35690828402366875</v>
      </c>
      <c r="I109" s="67">
        <f t="shared" si="56"/>
        <v>0.35690828402366848</v>
      </c>
      <c r="J109" s="67">
        <f t="shared" si="56"/>
        <v>0.3569082840236687</v>
      </c>
      <c r="K109" s="67">
        <f t="shared" si="56"/>
        <v>0.35690828402366864</v>
      </c>
      <c r="L109" s="67">
        <f t="shared" si="56"/>
        <v>0</v>
      </c>
    </row>
    <row r="110" spans="1:16" ht="19">
      <c r="A110" s="206" t="s">
        <v>77</v>
      </c>
      <c r="B110" s="59"/>
      <c r="C110" s="54">
        <f>2*C44/(C90+B90)</f>
        <v>0.38428843298842186</v>
      </c>
      <c r="D110" s="54">
        <f>2*D44/(D90+C90)</f>
        <v>0.84653896881832824</v>
      </c>
      <c r="E110" s="54">
        <f t="shared" ref="E110:K110" si="57">2*E44/(E90+D90)</f>
        <v>1.2989462197062926</v>
      </c>
      <c r="F110" s="54">
        <f t="shared" si="57"/>
        <v>1.6825488738181824</v>
      </c>
      <c r="G110" s="54">
        <f t="shared" si="57"/>
        <v>1.8368866293340043</v>
      </c>
      <c r="H110" s="54">
        <f>2*H44/(H90+G90)</f>
        <v>2.0027132450170151</v>
      </c>
      <c r="I110" s="54">
        <f t="shared" si="57"/>
        <v>2.1799992454593262</v>
      </c>
      <c r="J110" s="54">
        <f t="shared" si="57"/>
        <v>2.36844896128608</v>
      </c>
      <c r="K110" s="54">
        <f t="shared" si="57"/>
        <v>2.5674462248655789</v>
      </c>
      <c r="L110" s="54">
        <f>L44/(K90)</f>
        <v>2.7506394262487781</v>
      </c>
    </row>
    <row r="111" spans="1:16" ht="19">
      <c r="A111" s="66" t="s">
        <v>233</v>
      </c>
      <c r="B111" s="67"/>
      <c r="C111" s="67">
        <f>2*C57/(C90+B90)</f>
        <v>-0.25371102472669788</v>
      </c>
      <c r="D111" s="67">
        <f t="shared" ref="D111:K111" si="58">2*D57/(D90+C90)</f>
        <v>4.9026917925401488E-2</v>
      </c>
      <c r="E111" s="67">
        <f>2*E57/(E90+D90)</f>
        <v>0.30819318091986198</v>
      </c>
      <c r="F111" s="67">
        <f t="shared" si="58"/>
        <v>0.50092406001914025</v>
      </c>
      <c r="G111" s="67">
        <f t="shared" si="58"/>
        <v>0.55083259926165218</v>
      </c>
      <c r="H111" s="67">
        <f t="shared" si="58"/>
        <v>0.60463211204643974</v>
      </c>
      <c r="I111" s="67">
        <f t="shared" si="58"/>
        <v>0.66233808953851403</v>
      </c>
      <c r="J111" s="67">
        <f t="shared" si="58"/>
        <v>0.72388033045540867</v>
      </c>
      <c r="K111" s="67">
        <f t="shared" si="58"/>
        <v>0.78908446758052475</v>
      </c>
      <c r="L111" s="67">
        <f>L57/(K90)</f>
        <v>0.84981806564003537</v>
      </c>
      <c r="M111" s="280"/>
      <c r="N111" s="281"/>
      <c r="O111" s="281"/>
      <c r="P111" s="281"/>
    </row>
    <row r="112" spans="1:16" ht="19">
      <c r="A112" s="66" t="s">
        <v>258</v>
      </c>
      <c r="B112" s="67"/>
      <c r="C112" s="67">
        <f>2*C66/(B97+C97)</f>
        <v>-0.32121055647304414</v>
      </c>
      <c r="D112" s="67">
        <f t="shared" ref="D112:K112" si="59">2*D66/(C97+D97)</f>
        <v>4.0841327750671015E-2</v>
      </c>
      <c r="E112" s="67">
        <f t="shared" si="59"/>
        <v>0.30734442622436053</v>
      </c>
      <c r="F112" s="67">
        <f t="shared" si="59"/>
        <v>0.40713405662224661</v>
      </c>
      <c r="G112" s="67">
        <f t="shared" si="59"/>
        <v>0.4490652941895692</v>
      </c>
      <c r="H112" s="67">
        <f t="shared" si="59"/>
        <v>0.49426673120556058</v>
      </c>
      <c r="I112" s="67">
        <f t="shared" si="59"/>
        <v>0.54275154686114602</v>
      </c>
      <c r="J112" s="67">
        <f t="shared" si="59"/>
        <v>0.59446092738447553</v>
      </c>
      <c r="K112" s="67">
        <f t="shared" si="59"/>
        <v>0.64924853933928661</v>
      </c>
      <c r="L112" s="67">
        <f>L66/(K97)</f>
        <v>0.70040717513762962</v>
      </c>
      <c r="M112" s="266"/>
    </row>
    <row r="113" spans="1:16" ht="19">
      <c r="A113" s="66" t="s">
        <v>259</v>
      </c>
      <c r="B113" s="67"/>
      <c r="C113" s="67">
        <f>(C90-B90)/B90</f>
        <v>0.2915349480260126</v>
      </c>
      <c r="D113" s="67">
        <f t="shared" ref="D113:K113" si="60">(D90-C90)/C90</f>
        <v>0.13440364666530774</v>
      </c>
      <c r="E113" s="67">
        <f t="shared" si="60"/>
        <v>7.9651543355365534E-2</v>
      </c>
      <c r="F113" s="67">
        <f t="shared" si="60"/>
        <v>-2.963663903608273E-2</v>
      </c>
      <c r="G113" s="67">
        <f t="shared" si="60"/>
        <v>-2.8471163348089773E-2</v>
      </c>
      <c r="H113" s="67">
        <f t="shared" si="60"/>
        <v>-2.7046334188137722E-2</v>
      </c>
      <c r="I113" s="67">
        <f t="shared" si="60"/>
        <v>-2.533686031439205E-2</v>
      </c>
      <c r="J113" s="67">
        <f t="shared" si="60"/>
        <v>-2.3318691442612723E-2</v>
      </c>
      <c r="K113" s="67">
        <f t="shared" si="60"/>
        <v>-2.0970268517522993E-2</v>
      </c>
      <c r="L113" s="67"/>
      <c r="M113" s="266"/>
    </row>
    <row r="114" spans="1:16" ht="19">
      <c r="A114" s="62"/>
      <c r="B114" s="63"/>
      <c r="C114" s="62"/>
      <c r="D114" s="62"/>
      <c r="E114" s="62"/>
      <c r="F114" s="62"/>
      <c r="G114" s="62"/>
      <c r="H114" s="62"/>
      <c r="I114" s="62"/>
      <c r="J114" s="62"/>
      <c r="K114" s="62"/>
      <c r="L114" s="62"/>
      <c r="M114" s="280"/>
      <c r="N114" s="281"/>
      <c r="O114" s="281"/>
      <c r="P114" s="281"/>
    </row>
    <row r="115" spans="1:16" ht="20" thickBot="1">
      <c r="A115" s="69"/>
      <c r="B115" s="70"/>
      <c r="C115" s="69" t="s">
        <v>41</v>
      </c>
      <c r="D115" s="69"/>
      <c r="E115" s="69"/>
      <c r="F115" s="69"/>
      <c r="G115" s="69"/>
      <c r="H115" s="69"/>
      <c r="I115" s="69"/>
      <c r="J115" s="69"/>
      <c r="K115" s="69"/>
      <c r="L115" s="69"/>
      <c r="M115" s="248"/>
      <c r="N115" s="248"/>
      <c r="O115" s="248"/>
      <c r="P115" s="248"/>
    </row>
    <row r="116" spans="1:16" ht="23" thickTop="1" thickBot="1">
      <c r="A116" s="22" t="s">
        <v>185</v>
      </c>
      <c r="B116" s="70"/>
      <c r="C116" s="69"/>
      <c r="D116" s="69"/>
      <c r="E116" s="69"/>
      <c r="F116" s="69"/>
      <c r="G116" s="69"/>
      <c r="H116" s="69"/>
      <c r="I116" s="69"/>
      <c r="J116" s="69"/>
      <c r="K116" s="69"/>
      <c r="L116" s="69"/>
      <c r="M116" s="248"/>
      <c r="N116" s="248"/>
      <c r="O116" s="248"/>
      <c r="P116" s="248"/>
    </row>
    <row r="117" spans="1:16" ht="20" thickTop="1">
      <c r="A117" s="23"/>
      <c r="B117" s="23"/>
      <c r="C117" s="23"/>
      <c r="D117" s="23"/>
      <c r="E117" s="23"/>
      <c r="F117" s="23"/>
      <c r="G117" s="23"/>
      <c r="H117" s="23"/>
      <c r="I117" s="23"/>
      <c r="J117" s="23"/>
      <c r="K117" s="23"/>
      <c r="L117" s="23"/>
    </row>
    <row r="118" spans="1:16" ht="19">
      <c r="A118" s="71" t="s">
        <v>62</v>
      </c>
      <c r="B118" s="71">
        <v>0</v>
      </c>
      <c r="C118" s="71">
        <f>B118+1</f>
        <v>1</v>
      </c>
      <c r="D118" s="71">
        <f>C118+1</f>
        <v>2</v>
      </c>
      <c r="E118" s="71">
        <f t="shared" ref="E118:L118" si="61">D118+1</f>
        <v>3</v>
      </c>
      <c r="F118" s="71">
        <f t="shared" si="61"/>
        <v>4</v>
      </c>
      <c r="G118" s="71">
        <f t="shared" si="61"/>
        <v>5</v>
      </c>
      <c r="H118" s="71">
        <f t="shared" si="61"/>
        <v>6</v>
      </c>
      <c r="I118" s="71">
        <f t="shared" si="61"/>
        <v>7</v>
      </c>
      <c r="J118" s="71">
        <f t="shared" si="61"/>
        <v>8</v>
      </c>
      <c r="K118" s="71">
        <f t="shared" si="61"/>
        <v>9</v>
      </c>
      <c r="L118" s="71">
        <f t="shared" si="61"/>
        <v>10</v>
      </c>
    </row>
    <row r="119" spans="1:16" ht="19">
      <c r="A119" s="51"/>
      <c r="B119" s="51"/>
      <c r="C119" s="51"/>
      <c r="D119" s="51"/>
      <c r="E119" s="51"/>
      <c r="F119" s="51"/>
      <c r="G119" s="51"/>
      <c r="H119" s="51"/>
      <c r="I119" s="51"/>
      <c r="J119" s="51"/>
      <c r="K119" s="51"/>
      <c r="L119" s="51"/>
    </row>
    <row r="120" spans="1:16" ht="19">
      <c r="A120" s="72" t="s">
        <v>80</v>
      </c>
      <c r="B120" s="72"/>
      <c r="C120" s="72">
        <f>C53</f>
        <v>-4778.1538461538466</v>
      </c>
      <c r="D120" s="72">
        <f>D53</f>
        <v>4191.8923076923093</v>
      </c>
      <c r="E120" s="72">
        <f t="shared" ref="E120:L120" si="62">E53</f>
        <v>14255.545353846155</v>
      </c>
      <c r="F120" s="72">
        <f t="shared" si="62"/>
        <v>22044.78999384616</v>
      </c>
      <c r="G120" s="72">
        <f t="shared" si="62"/>
        <v>23367.477393476933</v>
      </c>
      <c r="H120" s="72">
        <f t="shared" si="62"/>
        <v>24769.526037085539</v>
      </c>
      <c r="I120" s="72">
        <f t="shared" si="62"/>
        <v>26255.697599310686</v>
      </c>
      <c r="J120" s="72">
        <f t="shared" si="62"/>
        <v>27831.039455269325</v>
      </c>
      <c r="K120" s="72">
        <f t="shared" si="62"/>
        <v>29500.901822585489</v>
      </c>
      <c r="L120" s="72">
        <f t="shared" si="62"/>
        <v>31270.955931940614</v>
      </c>
    </row>
    <row r="121" spans="1:16" ht="19">
      <c r="A121" s="72" t="s">
        <v>81</v>
      </c>
      <c r="B121" s="72"/>
      <c r="C121" s="72">
        <f>C120*(1-$D35)</f>
        <v>-3344.7076923076925</v>
      </c>
      <c r="D121" s="72">
        <f t="shared" ref="D121:L121" si="63">D120*(1-$D35)</f>
        <v>2934.3246153846162</v>
      </c>
      <c r="E121" s="72">
        <f t="shared" si="63"/>
        <v>9978.8817476923086</v>
      </c>
      <c r="F121" s="72">
        <f t="shared" si="63"/>
        <v>15431.35299569231</v>
      </c>
      <c r="G121" s="72">
        <f t="shared" si="63"/>
        <v>16357.234175433852</v>
      </c>
      <c r="H121" s="72">
        <f t="shared" si="63"/>
        <v>17338.668225959875</v>
      </c>
      <c r="I121" s="72">
        <f t="shared" si="63"/>
        <v>18378.988319517481</v>
      </c>
      <c r="J121" s="72">
        <f t="shared" si="63"/>
        <v>19481.727618688525</v>
      </c>
      <c r="K121" s="72">
        <f t="shared" si="63"/>
        <v>20650.631275809839</v>
      </c>
      <c r="L121" s="72">
        <f t="shared" si="63"/>
        <v>21889.66915235843</v>
      </c>
    </row>
    <row r="122" spans="1:16" ht="19">
      <c r="A122" s="72"/>
      <c r="B122" s="72"/>
      <c r="C122" s="72"/>
      <c r="D122" s="72"/>
      <c r="E122" s="72"/>
      <c r="F122" s="72"/>
      <c r="G122" s="72"/>
      <c r="H122" s="72"/>
      <c r="I122" s="72"/>
      <c r="J122" s="72"/>
      <c r="K122" s="72"/>
      <c r="L122" s="72"/>
    </row>
    <row r="123" spans="1:16" ht="19">
      <c r="A123" s="72" t="s">
        <v>82</v>
      </c>
      <c r="B123" s="72"/>
      <c r="C123" s="72">
        <f t="shared" ref="C123:L123" si="64">-C55</f>
        <v>2500</v>
      </c>
      <c r="D123" s="72">
        <f t="shared" si="64"/>
        <v>2500</v>
      </c>
      <c r="E123" s="72">
        <f t="shared" si="64"/>
        <v>2500</v>
      </c>
      <c r="F123" s="72">
        <f t="shared" si="64"/>
        <v>2500</v>
      </c>
      <c r="G123" s="72">
        <f t="shared" si="64"/>
        <v>2500</v>
      </c>
      <c r="H123" s="72">
        <f t="shared" si="64"/>
        <v>2500</v>
      </c>
      <c r="I123" s="72">
        <f t="shared" si="64"/>
        <v>2500</v>
      </c>
      <c r="J123" s="72">
        <f t="shared" si="64"/>
        <v>2500</v>
      </c>
      <c r="K123" s="72">
        <f t="shared" si="64"/>
        <v>2500</v>
      </c>
      <c r="L123" s="72">
        <f t="shared" si="64"/>
        <v>2500</v>
      </c>
    </row>
    <row r="124" spans="1:16" ht="19">
      <c r="A124" s="72" t="s">
        <v>83</v>
      </c>
      <c r="B124" s="72"/>
      <c r="C124" s="72">
        <f t="shared" ref="C124:L124" si="65">C123*$D35</f>
        <v>750</v>
      </c>
      <c r="D124" s="72">
        <f t="shared" si="65"/>
        <v>750</v>
      </c>
      <c r="E124" s="72">
        <f t="shared" si="65"/>
        <v>750</v>
      </c>
      <c r="F124" s="72">
        <f t="shared" si="65"/>
        <v>750</v>
      </c>
      <c r="G124" s="72">
        <f t="shared" si="65"/>
        <v>750</v>
      </c>
      <c r="H124" s="72">
        <f t="shared" si="65"/>
        <v>750</v>
      </c>
      <c r="I124" s="72">
        <f t="shared" si="65"/>
        <v>750</v>
      </c>
      <c r="J124" s="72">
        <f t="shared" si="65"/>
        <v>750</v>
      </c>
      <c r="K124" s="72">
        <f t="shared" si="65"/>
        <v>750</v>
      </c>
      <c r="L124" s="72">
        <f t="shared" si="65"/>
        <v>750</v>
      </c>
    </row>
    <row r="125" spans="1:16" ht="19">
      <c r="A125" s="72"/>
      <c r="B125" s="72"/>
      <c r="C125" s="72"/>
      <c r="D125" s="72"/>
      <c r="E125" s="72"/>
      <c r="F125" s="72"/>
      <c r="G125" s="72"/>
      <c r="H125" s="72"/>
      <c r="I125" s="72"/>
      <c r="J125" s="72"/>
      <c r="K125" s="72"/>
      <c r="L125" s="72"/>
    </row>
    <row r="126" spans="1:16" ht="19">
      <c r="A126" s="72" t="s">
        <v>84</v>
      </c>
      <c r="B126" s="72"/>
      <c r="C126" s="72">
        <f>C121+C124</f>
        <v>-2594.7076923076925</v>
      </c>
      <c r="D126" s="72">
        <f t="shared" ref="D126:L126" si="66">D121+D124</f>
        <v>3684.3246153846162</v>
      </c>
      <c r="E126" s="72">
        <f t="shared" si="66"/>
        <v>10728.881747692309</v>
      </c>
      <c r="F126" s="72">
        <f t="shared" si="66"/>
        <v>16181.35299569231</v>
      </c>
      <c r="G126" s="72">
        <f t="shared" si="66"/>
        <v>17107.234175433852</v>
      </c>
      <c r="H126" s="72">
        <f t="shared" si="66"/>
        <v>18088.668225959875</v>
      </c>
      <c r="I126" s="72">
        <f t="shared" si="66"/>
        <v>19128.988319517481</v>
      </c>
      <c r="J126" s="72">
        <f t="shared" si="66"/>
        <v>20231.727618688525</v>
      </c>
      <c r="K126" s="72">
        <f t="shared" si="66"/>
        <v>21400.631275809839</v>
      </c>
      <c r="L126" s="72">
        <f t="shared" si="66"/>
        <v>22639.66915235843</v>
      </c>
    </row>
    <row r="127" spans="1:16" ht="19">
      <c r="A127" s="72"/>
      <c r="B127" s="72"/>
      <c r="C127" s="72"/>
      <c r="D127" s="72"/>
      <c r="E127" s="72"/>
      <c r="F127" s="72"/>
      <c r="G127" s="72"/>
      <c r="H127" s="72"/>
      <c r="I127" s="72"/>
      <c r="J127" s="72"/>
      <c r="K127" s="72"/>
      <c r="L127" s="72"/>
    </row>
    <row r="128" spans="1:16" ht="19">
      <c r="A128" s="72" t="s">
        <v>85</v>
      </c>
      <c r="B128" s="72">
        <f>-D12</f>
        <v>-25000</v>
      </c>
      <c r="C128" s="72"/>
      <c r="D128" s="72"/>
      <c r="E128" s="72"/>
      <c r="F128" s="72"/>
      <c r="G128" s="72"/>
      <c r="H128" s="72"/>
      <c r="I128" s="72"/>
      <c r="J128" s="72"/>
      <c r="K128" s="72"/>
      <c r="L128" s="72"/>
    </row>
    <row r="129" spans="1:19" ht="19">
      <c r="A129" s="72"/>
      <c r="B129" s="72"/>
      <c r="C129" s="72"/>
      <c r="D129" s="72"/>
      <c r="E129" s="72"/>
      <c r="F129" s="72"/>
      <c r="G129" s="72"/>
      <c r="H129" s="72"/>
      <c r="I129" s="72"/>
      <c r="J129" s="72"/>
      <c r="K129" s="72"/>
      <c r="L129" s="72"/>
    </row>
    <row r="130" spans="1:19" ht="19">
      <c r="A130" s="72" t="s">
        <v>86</v>
      </c>
      <c r="B130" s="72">
        <f>-B88</f>
        <v>-37.179487179487069</v>
      </c>
      <c r="C130" s="72">
        <f>B88-C88</f>
        <v>-9799.2128205128229</v>
      </c>
      <c r="D130" s="72">
        <f>C88-D88</f>
        <v>-6846.129046153852</v>
      </c>
      <c r="E130" s="72">
        <f t="shared" ref="E130:K130" si="67">D88-E88</f>
        <v>-5421.8194399999957</v>
      </c>
      <c r="F130" s="72">
        <f t="shared" si="67"/>
        <v>-1326.2604476307788</v>
      </c>
      <c r="G130" s="72">
        <f>F88-G88</f>
        <v>-1405.8360744886086</v>
      </c>
      <c r="H130" s="72">
        <f t="shared" si="67"/>
        <v>-1490.1862389579437</v>
      </c>
      <c r="I130" s="72">
        <f t="shared" si="67"/>
        <v>-1579.5974132953961</v>
      </c>
      <c r="J130" s="72">
        <f t="shared" si="67"/>
        <v>-1674.3732580931392</v>
      </c>
      <c r="K130" s="72">
        <f t="shared" si="67"/>
        <v>-1774.8356535787279</v>
      </c>
      <c r="L130" s="72">
        <f>K88-L88</f>
        <v>31355.429879890751</v>
      </c>
    </row>
    <row r="131" spans="1:19" ht="19">
      <c r="A131" s="72"/>
      <c r="B131" s="72"/>
      <c r="C131" s="72"/>
      <c r="D131" s="72"/>
      <c r="E131" s="72"/>
      <c r="F131" s="72"/>
      <c r="G131" s="72"/>
      <c r="H131" s="72"/>
      <c r="I131" s="72"/>
      <c r="J131" s="72"/>
      <c r="K131" s="72"/>
      <c r="L131" s="72"/>
    </row>
    <row r="132" spans="1:19" ht="19">
      <c r="A132" s="72" t="s">
        <v>87</v>
      </c>
      <c r="B132" s="72"/>
      <c r="C132" s="72"/>
      <c r="D132" s="72"/>
      <c r="E132" s="72"/>
      <c r="F132" s="72"/>
      <c r="G132" s="72"/>
      <c r="H132" s="72"/>
      <c r="I132" s="72"/>
      <c r="J132" s="72"/>
      <c r="K132" s="72"/>
      <c r="L132" s="72">
        <f>D13</f>
        <v>2000</v>
      </c>
    </row>
    <row r="133" spans="1:19" ht="19">
      <c r="A133" s="72" t="s">
        <v>88</v>
      </c>
      <c r="B133" s="72"/>
      <c r="C133" s="72"/>
      <c r="D133" s="72"/>
      <c r="E133" s="72"/>
      <c r="F133" s="72"/>
      <c r="G133" s="72"/>
      <c r="H133" s="72"/>
      <c r="I133" s="72"/>
      <c r="J133" s="72"/>
      <c r="K133" s="72"/>
      <c r="L133" s="72">
        <f>-L132*D14</f>
        <v>-500</v>
      </c>
    </row>
    <row r="134" spans="1:19" ht="19">
      <c r="A134" s="72"/>
      <c r="B134" s="72"/>
      <c r="C134" s="72"/>
      <c r="D134" s="72"/>
      <c r="E134" s="72"/>
      <c r="F134" s="72"/>
      <c r="G134" s="72"/>
      <c r="H134" s="72"/>
      <c r="I134" s="72"/>
      <c r="J134" s="72"/>
      <c r="K134" s="72"/>
      <c r="L134" s="72"/>
    </row>
    <row r="135" spans="1:19" ht="19">
      <c r="A135" s="72" t="s">
        <v>89</v>
      </c>
      <c r="B135" s="72">
        <f>B128+B130</f>
        <v>-25037.179487179488</v>
      </c>
      <c r="C135" s="72">
        <f>C126+C130</f>
        <v>-12393.920512820516</v>
      </c>
      <c r="D135" s="72">
        <f>D126+D130</f>
        <v>-3161.8044307692358</v>
      </c>
      <c r="E135" s="72">
        <f t="shared" ref="E135:K135" si="68">E126+E130</f>
        <v>5307.062307692313</v>
      </c>
      <c r="F135" s="72">
        <f>F126+F130</f>
        <v>14855.092548061531</v>
      </c>
      <c r="G135" s="72">
        <f t="shared" si="68"/>
        <v>15701.398100945244</v>
      </c>
      <c r="H135" s="72">
        <f t="shared" si="68"/>
        <v>16598.481987001931</v>
      </c>
      <c r="I135" s="72">
        <f t="shared" si="68"/>
        <v>17549.390906222085</v>
      </c>
      <c r="J135" s="72">
        <f t="shared" si="68"/>
        <v>18557.354360595386</v>
      </c>
      <c r="K135" s="72">
        <f t="shared" si="68"/>
        <v>19625.795622231111</v>
      </c>
      <c r="L135" s="72">
        <f>L126+L130+L132+L133</f>
        <v>55495.099032249185</v>
      </c>
    </row>
    <row r="136" spans="1:19" ht="19">
      <c r="A136" s="72"/>
      <c r="B136" s="72"/>
      <c r="C136" s="72"/>
      <c r="D136" s="72"/>
      <c r="E136" s="72"/>
      <c r="F136" s="72"/>
      <c r="G136" s="72"/>
      <c r="H136" s="72"/>
      <c r="I136" s="72"/>
      <c r="J136" s="72"/>
      <c r="K136" s="72"/>
      <c r="L136" s="72"/>
    </row>
    <row r="137" spans="1:19" ht="19">
      <c r="A137" s="72" t="s">
        <v>90</v>
      </c>
      <c r="B137" s="72">
        <f>B135/((1+$B51)^B118)</f>
        <v>-25037.179487179488</v>
      </c>
      <c r="C137" s="72">
        <f>C135/((1+$D34)^C118)</f>
        <v>-11224.73016896118</v>
      </c>
      <c r="D137" s="72">
        <f t="shared" ref="D137:L137" si="69">D135/((1+$D34)^D118)</f>
        <v>-2593.3994254318791</v>
      </c>
      <c r="E137" s="72">
        <f t="shared" si="69"/>
        <v>3942.3556122204427</v>
      </c>
      <c r="F137" s="72">
        <f t="shared" si="69"/>
        <v>9994.111145764411</v>
      </c>
      <c r="G137" s="72">
        <f t="shared" si="69"/>
        <v>9566.9684443359656</v>
      </c>
      <c r="H137" s="72">
        <f t="shared" si="69"/>
        <v>9159.496292695394</v>
      </c>
      <c r="I137" s="72">
        <f t="shared" si="69"/>
        <v>8770.6639420712891</v>
      </c>
      <c r="J137" s="72">
        <f t="shared" si="69"/>
        <v>8399.504888016545</v>
      </c>
      <c r="K137" s="72">
        <f t="shared" si="69"/>
        <v>8045.1121294225341</v>
      </c>
      <c r="L137" s="72">
        <f t="shared" si="69"/>
        <v>20602.819779457441</v>
      </c>
    </row>
    <row r="138" spans="1:19" ht="19">
      <c r="A138" s="72"/>
      <c r="B138" s="72"/>
      <c r="C138" s="72"/>
      <c r="D138" s="72"/>
      <c r="E138" s="72"/>
      <c r="F138" s="72"/>
      <c r="G138" s="72"/>
      <c r="H138" s="72"/>
      <c r="I138" s="72"/>
      <c r="J138" s="72"/>
      <c r="K138" s="72"/>
      <c r="L138" s="72"/>
    </row>
    <row r="139" spans="1:19" ht="19">
      <c r="A139" s="72" t="s">
        <v>91</v>
      </c>
      <c r="B139" s="72">
        <f>B137</f>
        <v>-25037.179487179488</v>
      </c>
      <c r="C139" s="72">
        <f>B139+C137</f>
        <v>-36261.90965614067</v>
      </c>
      <c r="D139" s="72">
        <f>C139+D137</f>
        <v>-38855.309081572552</v>
      </c>
      <c r="E139" s="72">
        <f>D139+E137</f>
        <v>-34912.953469352113</v>
      </c>
      <c r="F139" s="72">
        <f t="shared" ref="F139:K139" si="70">E139+F137</f>
        <v>-24918.842323587702</v>
      </c>
      <c r="G139" s="72">
        <f t="shared" si="70"/>
        <v>-15351.873879251736</v>
      </c>
      <c r="H139" s="72">
        <f t="shared" si="70"/>
        <v>-6192.3775865563421</v>
      </c>
      <c r="I139" s="72">
        <f t="shared" si="70"/>
        <v>2578.286355514947</v>
      </c>
      <c r="J139" s="72">
        <f t="shared" si="70"/>
        <v>10977.791243531492</v>
      </c>
      <c r="K139" s="72">
        <f t="shared" si="70"/>
        <v>19022.903372954024</v>
      </c>
      <c r="L139" s="60">
        <f>K139+L137</f>
        <v>39625.723152411461</v>
      </c>
      <c r="S139" s="207"/>
    </row>
    <row r="140" spans="1:19" ht="19">
      <c r="A140" s="73"/>
      <c r="B140" s="73"/>
      <c r="C140" s="73"/>
      <c r="D140" s="73"/>
      <c r="E140" s="73"/>
      <c r="F140" s="73"/>
      <c r="G140" s="73"/>
      <c r="H140" s="73"/>
      <c r="I140" s="73"/>
      <c r="J140" s="73"/>
      <c r="K140" s="73"/>
      <c r="L140" s="73"/>
      <c r="S140" s="207"/>
    </row>
    <row r="141" spans="1:19" ht="19">
      <c r="A141" s="35"/>
      <c r="B141" s="36"/>
      <c r="C141" s="36"/>
      <c r="D141" s="36"/>
      <c r="E141" s="36"/>
      <c r="F141" s="36"/>
      <c r="G141" s="36"/>
      <c r="H141" s="36"/>
      <c r="I141" s="36"/>
      <c r="J141" s="36"/>
      <c r="K141" s="36"/>
      <c r="L141" s="38"/>
    </row>
    <row r="142" spans="1:19" ht="19">
      <c r="A142" s="80" t="s">
        <v>247</v>
      </c>
      <c r="B142" s="27">
        <f>L139</f>
        <v>39625.723152411461</v>
      </c>
      <c r="E142" s="81" t="s">
        <v>184</v>
      </c>
      <c r="F142" s="23"/>
      <c r="G142" s="23"/>
      <c r="H142" s="168">
        <f>IRR(B135:L135,0)</f>
        <v>0.2311683146319945</v>
      </c>
      <c r="J142" s="32" t="s">
        <v>182</v>
      </c>
      <c r="L142" s="166">
        <f>IRR(B70:L70,10%)</f>
        <v>0.24734324417112186</v>
      </c>
      <c r="M142" s="198"/>
    </row>
    <row r="143" spans="1:19" ht="19">
      <c r="A143" s="39"/>
      <c r="B143" s="23"/>
      <c r="C143" s="23"/>
      <c r="D143" s="23"/>
      <c r="E143" s="23"/>
      <c r="F143" s="23"/>
      <c r="G143" s="23"/>
      <c r="H143" s="23"/>
      <c r="I143" s="23"/>
      <c r="J143" s="23"/>
      <c r="K143" s="23"/>
      <c r="L143" s="41"/>
    </row>
    <row r="144" spans="1:19" ht="19">
      <c r="A144" s="84" t="s">
        <v>93</v>
      </c>
      <c r="B144" s="27">
        <v>7</v>
      </c>
      <c r="C144" s="23" t="s">
        <v>94</v>
      </c>
      <c r="D144" s="23"/>
      <c r="E144" s="26" t="s">
        <v>144</v>
      </c>
      <c r="F144" s="26"/>
      <c r="G144" s="26"/>
      <c r="H144" s="167">
        <f>AVERAGE(C111:L111)*(1-D35)</f>
        <v>0.33495131590621963</v>
      </c>
      <c r="I144" s="23"/>
      <c r="J144" s="32" t="s">
        <v>183</v>
      </c>
      <c r="K144" s="23"/>
      <c r="L144" s="166">
        <f>IRR(B74:L74,10%)</f>
        <v>0.19438999323924233</v>
      </c>
      <c r="M144" s="198"/>
      <c r="O144" s="198"/>
    </row>
    <row r="145" spans="1:12">
      <c r="A145" s="13"/>
      <c r="B145" s="14"/>
      <c r="C145" s="14"/>
      <c r="D145" s="14"/>
      <c r="E145" s="14"/>
      <c r="F145" s="14"/>
      <c r="G145" s="14"/>
      <c r="H145" s="14"/>
      <c r="I145" s="14"/>
      <c r="J145" s="14"/>
      <c r="K145" s="14"/>
      <c r="L145" s="15"/>
    </row>
    <row r="146" spans="1:12" ht="17" thickBot="1"/>
    <row r="147" spans="1:12" ht="21">
      <c r="A147" s="85"/>
      <c r="B147" s="86"/>
      <c r="C147" s="87"/>
      <c r="J147" s="102" t="s">
        <v>155</v>
      </c>
      <c r="K147" s="103"/>
      <c r="L147" s="104">
        <f>INFI</f>
        <v>0.06</v>
      </c>
    </row>
    <row r="148" spans="1:12" ht="21">
      <c r="A148" s="214" t="s">
        <v>143</v>
      </c>
      <c r="B148" s="69">
        <f>-NPV(CMPC!B34,'Business plan'!B74:L74)</f>
        <v>3963.5197944554984</v>
      </c>
      <c r="C148" s="90" t="s">
        <v>262</v>
      </c>
      <c r="D148" s="205"/>
      <c r="E148" s="205"/>
      <c r="J148" s="105" t="s">
        <v>156</v>
      </c>
      <c r="K148" s="106"/>
      <c r="L148" s="144">
        <f>INFM</f>
        <v>1.4999999999999999E-2</v>
      </c>
    </row>
    <row r="149" spans="1:12" ht="21">
      <c r="A149" s="91"/>
      <c r="B149" s="23"/>
      <c r="C149" s="90"/>
      <c r="D149" s="198"/>
      <c r="J149" s="105" t="s">
        <v>157</v>
      </c>
      <c r="K149" s="106"/>
      <c r="L149" s="107">
        <v>0.06</v>
      </c>
    </row>
    <row r="150" spans="1:12" ht="21">
      <c r="A150" s="91"/>
      <c r="B150" s="99">
        <f>-NPV(CMPC!C26,'Business plan'!B70:L70)</f>
        <v>33004.091644089051</v>
      </c>
      <c r="C150" s="90" t="s">
        <v>234</v>
      </c>
      <c r="D150" s="205"/>
      <c r="J150" s="108" t="s">
        <v>158</v>
      </c>
      <c r="K150" s="109"/>
      <c r="L150" s="110">
        <v>0.06</v>
      </c>
    </row>
    <row r="151" spans="1:12" ht="20" thickBot="1">
      <c r="A151" s="93"/>
      <c r="B151" s="94"/>
      <c r="C151" s="95"/>
      <c r="D151" t="s">
        <v>41</v>
      </c>
    </row>
  </sheetData>
  <mergeCells count="8">
    <mergeCell ref="M114:P114"/>
    <mergeCell ref="M64:O64"/>
    <mergeCell ref="M83:O83"/>
    <mergeCell ref="M84:O84"/>
    <mergeCell ref="M85:R85"/>
    <mergeCell ref="M86:R86"/>
    <mergeCell ref="M111:P111"/>
    <mergeCell ref="M87:R87"/>
  </mergeCells>
  <pageMargins left="0.7" right="0.7" top="0.75" bottom="0.75" header="0.3" footer="0.3"/>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86F78-2B23-9F49-A1C1-FD375656F1AD}">
  <dimension ref="A1:S131"/>
  <sheetViews>
    <sheetView showGridLines="0" zoomScale="130" zoomScaleNormal="130" workbookViewId="0">
      <selection activeCell="A8" sqref="A8"/>
    </sheetView>
  </sheetViews>
  <sheetFormatPr baseColWidth="10" defaultRowHeight="16"/>
  <cols>
    <col min="1" max="1" width="44.33203125" customWidth="1"/>
    <col min="2" max="12" width="14.83203125" customWidth="1"/>
  </cols>
  <sheetData>
    <row r="1" spans="1:12" ht="20" thickBot="1">
      <c r="A1" s="23"/>
      <c r="B1" s="23"/>
      <c r="C1" s="23"/>
      <c r="D1" s="23"/>
      <c r="E1" s="23"/>
      <c r="F1" s="23"/>
      <c r="G1" s="23"/>
      <c r="H1" s="23"/>
      <c r="I1" s="23"/>
      <c r="J1" s="23"/>
      <c r="K1" s="23"/>
      <c r="L1" s="23"/>
    </row>
    <row r="2" spans="1:12" ht="31" thickTop="1" thickBot="1">
      <c r="A2" s="22" t="s">
        <v>39</v>
      </c>
      <c r="B2" s="23"/>
      <c r="C2" s="23"/>
      <c r="D2" s="23"/>
      <c r="E2" s="23"/>
      <c r="F2" s="24" t="s">
        <v>40</v>
      </c>
      <c r="G2" s="23"/>
      <c r="H2" s="23"/>
      <c r="I2" s="23"/>
      <c r="J2" s="23"/>
      <c r="K2" s="23"/>
      <c r="L2" s="23"/>
    </row>
    <row r="3" spans="1:12" ht="20" thickTop="1">
      <c r="A3" s="23"/>
      <c r="B3" s="23"/>
      <c r="C3" s="23"/>
      <c r="D3" s="23"/>
      <c r="E3" s="23"/>
      <c r="F3" s="23"/>
      <c r="G3" s="23"/>
      <c r="H3" s="23"/>
      <c r="I3" s="23"/>
      <c r="J3" s="23" t="s">
        <v>41</v>
      </c>
      <c r="K3" s="23"/>
      <c r="L3" s="23"/>
    </row>
    <row r="4" spans="1:12" ht="21">
      <c r="A4" s="25"/>
      <c r="B4" s="26"/>
      <c r="C4" s="26"/>
      <c r="D4" s="26"/>
      <c r="E4" s="26"/>
      <c r="F4" s="26"/>
      <c r="G4" s="26"/>
      <c r="H4" s="26"/>
      <c r="I4" s="26"/>
      <c r="J4" s="26"/>
      <c r="K4" s="26"/>
      <c r="L4" s="26"/>
    </row>
    <row r="5" spans="1:12" ht="19">
      <c r="A5" s="26"/>
      <c r="B5" s="201"/>
      <c r="C5" s="26"/>
      <c r="D5" s="26"/>
      <c r="E5" s="26"/>
      <c r="F5" s="26"/>
      <c r="G5" s="26"/>
      <c r="H5" s="26"/>
      <c r="I5" s="26"/>
      <c r="J5" s="26"/>
      <c r="K5" s="26"/>
      <c r="L5" s="26"/>
    </row>
    <row r="6" spans="1:12" ht="19">
      <c r="A6" s="27" t="s">
        <v>42</v>
      </c>
      <c r="B6" s="28" t="s">
        <v>246</v>
      </c>
      <c r="C6" s="29">
        <f>CAPEX</f>
        <v>25000</v>
      </c>
      <c r="D6" s="28" t="s">
        <v>43</v>
      </c>
      <c r="E6" s="30"/>
      <c r="F6" s="75">
        <v>2000</v>
      </c>
      <c r="G6" s="28" t="s">
        <v>44</v>
      </c>
      <c r="H6" s="30"/>
      <c r="I6" s="31">
        <v>0.25</v>
      </c>
      <c r="J6" s="23"/>
      <c r="K6" s="26"/>
      <c r="L6" s="26"/>
    </row>
    <row r="7" spans="1:12" ht="19">
      <c r="A7" s="23"/>
      <c r="B7" s="26"/>
      <c r="C7" s="26"/>
      <c r="D7" s="26"/>
      <c r="E7" s="26"/>
      <c r="F7" s="26"/>
      <c r="G7" s="26"/>
      <c r="H7" s="26"/>
      <c r="I7" s="26"/>
      <c r="J7" s="26"/>
      <c r="K7" s="26"/>
      <c r="L7" s="26"/>
    </row>
    <row r="8" spans="1:12" ht="60">
      <c r="A8" s="278" t="s">
        <v>170</v>
      </c>
      <c r="B8" s="26"/>
      <c r="C8" s="26"/>
      <c r="D8" s="26"/>
      <c r="E8" s="26"/>
      <c r="F8" s="26"/>
      <c r="G8" s="26"/>
      <c r="H8" s="26"/>
      <c r="I8" s="26"/>
      <c r="J8" s="26"/>
      <c r="K8" s="26"/>
      <c r="L8" s="26"/>
    </row>
    <row r="9" spans="1:12" ht="19">
      <c r="A9" s="26"/>
      <c r="B9" s="26"/>
      <c r="C9" s="26"/>
      <c r="D9" s="26"/>
      <c r="E9" s="26"/>
      <c r="F9" s="26"/>
      <c r="G9" s="26"/>
      <c r="H9" s="26"/>
      <c r="I9" s="26"/>
      <c r="J9" s="26"/>
      <c r="K9" s="26"/>
      <c r="L9" s="26"/>
    </row>
    <row r="10" spans="1:12" ht="19">
      <c r="A10" s="33" t="s">
        <v>45</v>
      </c>
      <c r="B10" s="33">
        <v>0</v>
      </c>
      <c r="C10" s="33">
        <v>1</v>
      </c>
      <c r="D10" s="33">
        <f>C10+1</f>
        <v>2</v>
      </c>
      <c r="E10" s="33">
        <f t="shared" ref="E10:L10" si="0">D10+1</f>
        <v>3</v>
      </c>
      <c r="F10" s="33">
        <f t="shared" si="0"/>
        <v>4</v>
      </c>
      <c r="G10" s="33">
        <f t="shared" si="0"/>
        <v>5</v>
      </c>
      <c r="H10" s="33">
        <f t="shared" si="0"/>
        <v>6</v>
      </c>
      <c r="I10" s="33">
        <f t="shared" si="0"/>
        <v>7</v>
      </c>
      <c r="J10" s="33">
        <f t="shared" si="0"/>
        <v>8</v>
      </c>
      <c r="K10" s="33">
        <f t="shared" si="0"/>
        <v>9</v>
      </c>
      <c r="L10" s="33">
        <f t="shared" si="0"/>
        <v>10</v>
      </c>
    </row>
    <row r="11" spans="1:12" ht="19">
      <c r="A11" s="33" t="s">
        <v>46</v>
      </c>
      <c r="B11" s="33">
        <v>0</v>
      </c>
      <c r="C11" s="33">
        <f>Situation!F28</f>
        <v>200</v>
      </c>
      <c r="D11" s="33">
        <f>Situation!F29</f>
        <v>500</v>
      </c>
      <c r="E11" s="33">
        <f>D11</f>
        <v>500</v>
      </c>
      <c r="F11" s="33">
        <f t="shared" ref="F11:L11" si="1">E11</f>
        <v>500</v>
      </c>
      <c r="G11" s="33">
        <f t="shared" si="1"/>
        <v>500</v>
      </c>
      <c r="H11" s="33">
        <f t="shared" si="1"/>
        <v>500</v>
      </c>
      <c r="I11" s="33">
        <f t="shared" si="1"/>
        <v>500</v>
      </c>
      <c r="J11" s="33">
        <f t="shared" si="1"/>
        <v>500</v>
      </c>
      <c r="K11" s="33">
        <f t="shared" si="1"/>
        <v>500</v>
      </c>
      <c r="L11" s="33">
        <f t="shared" si="1"/>
        <v>500</v>
      </c>
    </row>
    <row r="12" spans="1:12" ht="19">
      <c r="A12" s="26"/>
      <c r="B12" s="26"/>
      <c r="C12" s="26"/>
      <c r="D12" s="26"/>
      <c r="E12" s="26"/>
      <c r="F12" s="26"/>
      <c r="G12" s="26"/>
      <c r="H12" s="26"/>
      <c r="I12" s="26"/>
      <c r="J12" s="26"/>
      <c r="K12" s="26"/>
      <c r="L12" s="26"/>
    </row>
    <row r="13" spans="1:12" ht="19">
      <c r="A13" s="32" t="s">
        <v>47</v>
      </c>
      <c r="B13" s="28" t="s">
        <v>146</v>
      </c>
      <c r="C13" s="30"/>
      <c r="D13" s="75">
        <f>PVU</f>
        <v>52000</v>
      </c>
      <c r="E13" s="28" t="s">
        <v>147</v>
      </c>
      <c r="F13" s="30"/>
      <c r="G13" s="75">
        <f>CRVU</f>
        <v>24538.461538461539</v>
      </c>
      <c r="H13" s="28" t="s">
        <v>48</v>
      </c>
      <c r="I13" s="78">
        <f>CFX</f>
        <v>10000</v>
      </c>
      <c r="J13" s="34" t="s">
        <v>234</v>
      </c>
      <c r="K13" s="26"/>
      <c r="L13" s="26"/>
    </row>
    <row r="14" spans="1:12" ht="19">
      <c r="A14" s="26"/>
      <c r="B14" s="28" t="s">
        <v>49</v>
      </c>
      <c r="C14" s="30"/>
      <c r="D14" s="31">
        <v>0.06</v>
      </c>
      <c r="E14" s="28" t="s">
        <v>50</v>
      </c>
      <c r="F14" s="30"/>
      <c r="G14" s="31">
        <v>0.06</v>
      </c>
      <c r="H14" s="26"/>
      <c r="I14" s="26"/>
      <c r="J14" s="26"/>
      <c r="K14" s="26"/>
      <c r="L14" s="26"/>
    </row>
    <row r="15" spans="1:12" ht="19">
      <c r="A15" s="23"/>
      <c r="B15" s="26"/>
      <c r="C15" s="26"/>
      <c r="D15" s="26"/>
      <c r="E15" s="26"/>
      <c r="F15" s="26"/>
      <c r="G15" s="26"/>
      <c r="H15" s="26"/>
      <c r="I15" s="26"/>
      <c r="J15" s="26"/>
      <c r="K15" s="26"/>
      <c r="L15" s="26"/>
    </row>
    <row r="16" spans="1:12" ht="19">
      <c r="A16" s="32" t="s">
        <v>51</v>
      </c>
      <c r="B16" s="35"/>
      <c r="C16" s="36"/>
      <c r="D16" s="37"/>
      <c r="E16" s="36"/>
      <c r="F16" s="38"/>
      <c r="G16" s="26"/>
      <c r="H16" s="26"/>
      <c r="I16" s="26"/>
      <c r="J16" s="26"/>
      <c r="K16" s="26"/>
      <c r="L16" s="26"/>
    </row>
    <row r="17" spans="1:19" ht="19">
      <c r="A17" s="26"/>
      <c r="B17" s="39" t="s">
        <v>52</v>
      </c>
      <c r="C17" s="23"/>
      <c r="D17" s="40">
        <v>1</v>
      </c>
      <c r="E17" s="23" t="s">
        <v>53</v>
      </c>
      <c r="F17" s="41"/>
      <c r="G17" s="26"/>
      <c r="H17" s="26"/>
      <c r="I17" s="26"/>
      <c r="J17" s="26"/>
      <c r="K17" s="26"/>
      <c r="L17" s="26"/>
    </row>
    <row r="18" spans="1:19" ht="19">
      <c r="A18" s="26"/>
      <c r="B18" s="39" t="s">
        <v>54</v>
      </c>
      <c r="C18" s="23"/>
      <c r="D18" s="40">
        <v>2</v>
      </c>
      <c r="E18" s="23" t="s">
        <v>55</v>
      </c>
      <c r="F18" s="41"/>
      <c r="G18" s="26"/>
      <c r="H18" s="26"/>
      <c r="I18" s="26"/>
      <c r="J18" s="26"/>
      <c r="K18" s="26"/>
      <c r="L18" s="26"/>
    </row>
    <row r="19" spans="1:19" ht="19">
      <c r="A19" s="26"/>
      <c r="B19" s="39" t="s">
        <v>56</v>
      </c>
      <c r="C19" s="23"/>
      <c r="D19" s="23">
        <v>120</v>
      </c>
      <c r="E19" s="23" t="s">
        <v>57</v>
      </c>
      <c r="F19" s="41"/>
      <c r="G19" s="26"/>
      <c r="H19" s="26"/>
      <c r="I19" s="26"/>
      <c r="J19" s="26"/>
      <c r="K19" s="26"/>
      <c r="L19" s="26"/>
    </row>
    <row r="20" spans="1:19" ht="19">
      <c r="A20" s="26"/>
      <c r="B20" s="39" t="s">
        <v>58</v>
      </c>
      <c r="C20" s="23"/>
      <c r="D20" s="23">
        <v>90</v>
      </c>
      <c r="E20" s="23" t="s">
        <v>59</v>
      </c>
      <c r="F20" s="41"/>
      <c r="G20" s="26"/>
      <c r="H20" s="26"/>
      <c r="I20" s="26"/>
      <c r="J20" s="26"/>
      <c r="K20" s="26"/>
      <c r="L20" s="26"/>
    </row>
    <row r="21" spans="1:19" ht="19">
      <c r="A21" s="26"/>
      <c r="B21" s="42"/>
      <c r="C21" s="43"/>
      <c r="D21" s="44"/>
      <c r="E21" s="43"/>
      <c r="F21" s="45"/>
      <c r="G21" s="26"/>
      <c r="H21" s="26"/>
      <c r="I21" s="26"/>
      <c r="J21" s="26"/>
      <c r="K21" s="26"/>
      <c r="L21" s="26"/>
    </row>
    <row r="22" spans="1:19" ht="19">
      <c r="A22" s="26"/>
      <c r="B22" s="23"/>
      <c r="C22" s="23"/>
      <c r="D22" s="46"/>
      <c r="E22" s="23"/>
      <c r="F22" s="23"/>
      <c r="G22" s="26"/>
      <c r="H22" s="26"/>
      <c r="I22" s="26"/>
      <c r="J22" s="26"/>
      <c r="K22" s="26"/>
      <c r="L22" s="26"/>
    </row>
    <row r="23" spans="1:19" ht="19">
      <c r="A23" s="47" t="s">
        <v>31</v>
      </c>
      <c r="B23" s="97">
        <f>CMPC!C34</f>
        <v>0.104162</v>
      </c>
      <c r="C23" s="23"/>
      <c r="D23" s="48" t="s">
        <v>60</v>
      </c>
      <c r="E23" s="49"/>
      <c r="F23" s="98">
        <f>TIS</f>
        <v>0.3</v>
      </c>
      <c r="G23" s="26"/>
      <c r="H23" s="26"/>
      <c r="I23" s="26"/>
      <c r="J23" s="26"/>
      <c r="K23" s="26"/>
      <c r="L23" s="26"/>
    </row>
    <row r="24" spans="1:19" ht="20" thickBot="1">
      <c r="A24" s="23"/>
      <c r="B24" s="23"/>
      <c r="C24" s="23"/>
      <c r="D24" s="23"/>
      <c r="E24" s="23"/>
      <c r="F24" s="23"/>
      <c r="G24" s="23"/>
      <c r="H24" s="23"/>
      <c r="I24" s="23"/>
      <c r="J24" s="23"/>
      <c r="K24" s="23"/>
      <c r="L24" s="23"/>
    </row>
    <row r="25" spans="1:19" ht="23" thickTop="1" thickBot="1">
      <c r="A25" s="22" t="s">
        <v>61</v>
      </c>
      <c r="B25" s="23"/>
      <c r="C25" s="23" t="s">
        <v>41</v>
      </c>
      <c r="D25" s="23"/>
      <c r="E25" s="23"/>
      <c r="F25" s="23"/>
      <c r="G25" s="23"/>
      <c r="H25" s="23"/>
      <c r="I25" s="23"/>
      <c r="J25" s="23"/>
      <c r="K25" s="23"/>
      <c r="L25" s="23"/>
    </row>
    <row r="26" spans="1:19" ht="20" thickTop="1">
      <c r="A26" s="23"/>
      <c r="B26" s="23"/>
      <c r="C26" s="23"/>
      <c r="D26" s="23"/>
      <c r="E26" s="23"/>
      <c r="F26" s="23"/>
      <c r="G26" s="23"/>
      <c r="H26" s="23"/>
      <c r="I26" s="23"/>
      <c r="J26" s="23"/>
      <c r="K26" s="23"/>
      <c r="L26" s="23"/>
    </row>
    <row r="27" spans="1:19" ht="19">
      <c r="A27" s="33" t="s">
        <v>62</v>
      </c>
      <c r="B27" s="33">
        <v>0</v>
      </c>
      <c r="C27" s="33">
        <v>1</v>
      </c>
      <c r="D27" s="33">
        <f>C27+1</f>
        <v>2</v>
      </c>
      <c r="E27" s="33">
        <f t="shared" ref="E27:L27" si="2">D27+1</f>
        <v>3</v>
      </c>
      <c r="F27" s="33">
        <f t="shared" si="2"/>
        <v>4</v>
      </c>
      <c r="G27" s="33">
        <f t="shared" si="2"/>
        <v>5</v>
      </c>
      <c r="H27" s="33">
        <f t="shared" si="2"/>
        <v>6</v>
      </c>
      <c r="I27" s="33">
        <f t="shared" si="2"/>
        <v>7</v>
      </c>
      <c r="J27" s="33">
        <f t="shared" si="2"/>
        <v>8</v>
      </c>
      <c r="K27" s="33">
        <f t="shared" si="2"/>
        <v>9</v>
      </c>
      <c r="L27" s="33">
        <f t="shared" si="2"/>
        <v>10</v>
      </c>
    </row>
    <row r="28" spans="1:19" ht="19">
      <c r="A28" s="50"/>
      <c r="B28" s="50"/>
      <c r="C28" s="50"/>
      <c r="D28" s="50"/>
      <c r="E28" s="50"/>
      <c r="F28" s="50"/>
      <c r="G28" s="50"/>
      <c r="H28" s="50"/>
      <c r="I28" s="50"/>
      <c r="J28" s="50"/>
      <c r="K28" s="51"/>
      <c r="L28" s="51"/>
    </row>
    <row r="29" spans="1:19" ht="19">
      <c r="A29" s="52" t="s">
        <v>46</v>
      </c>
      <c r="B29" s="53">
        <f t="shared" ref="B29:L29" si="3">B11</f>
        <v>0</v>
      </c>
      <c r="C29" s="53">
        <f t="shared" si="3"/>
        <v>200</v>
      </c>
      <c r="D29" s="53">
        <f t="shared" si="3"/>
        <v>500</v>
      </c>
      <c r="E29" s="53">
        <f t="shared" si="3"/>
        <v>500</v>
      </c>
      <c r="F29" s="53">
        <f t="shared" si="3"/>
        <v>500</v>
      </c>
      <c r="G29" s="53">
        <f t="shared" si="3"/>
        <v>500</v>
      </c>
      <c r="H29" s="53">
        <f t="shared" si="3"/>
        <v>500</v>
      </c>
      <c r="I29" s="53">
        <f t="shared" si="3"/>
        <v>500</v>
      </c>
      <c r="J29" s="53">
        <f t="shared" si="3"/>
        <v>500</v>
      </c>
      <c r="K29" s="53">
        <f t="shared" si="3"/>
        <v>500</v>
      </c>
      <c r="L29" s="53">
        <f t="shared" si="3"/>
        <v>500</v>
      </c>
    </row>
    <row r="30" spans="1:19" s="76" customFormat="1" ht="19">
      <c r="A30" s="58" t="s">
        <v>63</v>
      </c>
      <c r="B30" s="58"/>
      <c r="C30" s="58">
        <f>$D13*((1+$D14)^C27)</f>
        <v>55120</v>
      </c>
      <c r="D30" s="58">
        <f t="shared" ref="D30:L30" si="4">$D13*((1+$D14)^D27)</f>
        <v>58427.200000000012</v>
      </c>
      <c r="E30" s="58">
        <f t="shared" si="4"/>
        <v>61932.832000000017</v>
      </c>
      <c r="F30" s="58">
        <f t="shared" si="4"/>
        <v>65648.801920000013</v>
      </c>
      <c r="G30" s="58">
        <f t="shared" si="4"/>
        <v>69587.730035200031</v>
      </c>
      <c r="H30" s="58">
        <f t="shared" si="4"/>
        <v>73762.993837312024</v>
      </c>
      <c r="I30" s="58">
        <f t="shared" si="4"/>
        <v>78188.773467550767</v>
      </c>
      <c r="J30" s="58">
        <f t="shared" si="4"/>
        <v>82880.099875603803</v>
      </c>
      <c r="K30" s="58">
        <f t="shared" si="4"/>
        <v>87852.905868140035</v>
      </c>
      <c r="L30" s="58">
        <f t="shared" si="4"/>
        <v>93124.080220228439</v>
      </c>
      <c r="M30"/>
      <c r="N30"/>
      <c r="O30"/>
      <c r="P30"/>
      <c r="Q30"/>
      <c r="R30"/>
      <c r="S30"/>
    </row>
    <row r="31" spans="1:19" s="77" customFormat="1" ht="19">
      <c r="A31" s="56" t="s">
        <v>236</v>
      </c>
      <c r="B31" s="56"/>
      <c r="C31" s="60">
        <f>C29*C30/1000</f>
        <v>11024</v>
      </c>
      <c r="D31" s="60">
        <f t="shared" ref="D31:L31" si="5">D29*D30/1000</f>
        <v>29213.600000000006</v>
      </c>
      <c r="E31" s="60">
        <f t="shared" si="5"/>
        <v>30966.416000000008</v>
      </c>
      <c r="F31" s="60">
        <f t="shared" si="5"/>
        <v>32824.400960000006</v>
      </c>
      <c r="G31" s="60">
        <f t="shared" si="5"/>
        <v>34793.865017600016</v>
      </c>
      <c r="H31" s="60">
        <f t="shared" si="5"/>
        <v>36881.496918656012</v>
      </c>
      <c r="I31" s="60">
        <f t="shared" si="5"/>
        <v>39094.386733775384</v>
      </c>
      <c r="J31" s="60">
        <f t="shared" si="5"/>
        <v>41440.049937801894</v>
      </c>
      <c r="K31" s="60">
        <f t="shared" si="5"/>
        <v>43926.452934070017</v>
      </c>
      <c r="L31" s="60">
        <f t="shared" si="5"/>
        <v>46562.04011011422</v>
      </c>
      <c r="M31"/>
      <c r="N31"/>
      <c r="O31"/>
      <c r="P31"/>
      <c r="Q31"/>
      <c r="R31"/>
      <c r="S31"/>
    </row>
    <row r="32" spans="1:19" ht="19">
      <c r="A32" s="55"/>
      <c r="B32" s="55"/>
      <c r="C32" s="60"/>
      <c r="D32" s="60"/>
      <c r="E32" s="60"/>
      <c r="F32" s="60"/>
      <c r="G32" s="60"/>
      <c r="H32" s="60"/>
      <c r="I32" s="60"/>
      <c r="J32" s="60"/>
      <c r="K32" s="60"/>
      <c r="L32" s="60"/>
    </row>
    <row r="33" spans="1:19" ht="19">
      <c r="A33" s="54" t="s">
        <v>64</v>
      </c>
      <c r="B33" s="54"/>
      <c r="C33" s="58">
        <f>$G13*((1+$G14)^C27)</f>
        <v>26010.769230769234</v>
      </c>
      <c r="D33" s="58">
        <f t="shared" ref="D33:L33" si="6">$G13*((1+$G14)^D27)</f>
        <v>27571.415384615389</v>
      </c>
      <c r="E33" s="58">
        <f t="shared" si="6"/>
        <v>29225.700307692317</v>
      </c>
      <c r="F33" s="58">
        <f t="shared" si="6"/>
        <v>30979.242326153853</v>
      </c>
      <c r="G33" s="58">
        <f t="shared" si="6"/>
        <v>32837.996865723093</v>
      </c>
      <c r="H33" s="58">
        <f t="shared" si="6"/>
        <v>34808.276677666479</v>
      </c>
      <c r="I33" s="58">
        <f t="shared" si="6"/>
        <v>36896.773278326473</v>
      </c>
      <c r="J33" s="58">
        <f t="shared" si="6"/>
        <v>39110.579675026056</v>
      </c>
      <c r="K33" s="58">
        <f t="shared" si="6"/>
        <v>41457.214455527617</v>
      </c>
      <c r="L33" s="58">
        <f t="shared" si="6"/>
        <v>43944.64732285928</v>
      </c>
    </row>
    <row r="34" spans="1:19" s="76" customFormat="1" ht="19">
      <c r="A34" s="58" t="s">
        <v>65</v>
      </c>
      <c r="B34" s="58"/>
      <c r="C34" s="58">
        <f>C30-C33</f>
        <v>29109.230769230766</v>
      </c>
      <c r="D34" s="58">
        <f t="shared" ref="D34:L34" si="7">D30-D33</f>
        <v>30855.784615384622</v>
      </c>
      <c r="E34" s="58">
        <f t="shared" si="7"/>
        <v>32707.131692307699</v>
      </c>
      <c r="F34" s="58">
        <f t="shared" si="7"/>
        <v>34669.559593846163</v>
      </c>
      <c r="G34" s="58">
        <f t="shared" si="7"/>
        <v>36749.733169476938</v>
      </c>
      <c r="H34" s="58">
        <f t="shared" si="7"/>
        <v>38954.717159645545</v>
      </c>
      <c r="I34" s="58">
        <f t="shared" si="7"/>
        <v>41292.000189224294</v>
      </c>
      <c r="J34" s="58">
        <f t="shared" si="7"/>
        <v>43769.520200577746</v>
      </c>
      <c r="K34" s="58">
        <f t="shared" si="7"/>
        <v>46395.691412612417</v>
      </c>
      <c r="L34" s="58">
        <f t="shared" si="7"/>
        <v>49179.432897369159</v>
      </c>
      <c r="M34"/>
      <c r="N34"/>
      <c r="O34"/>
      <c r="P34"/>
      <c r="Q34"/>
      <c r="R34"/>
      <c r="S34"/>
    </row>
    <row r="35" spans="1:19" ht="19">
      <c r="A35" s="52"/>
      <c r="B35" s="52"/>
      <c r="C35" s="58"/>
      <c r="D35" s="58"/>
      <c r="E35" s="58"/>
      <c r="F35" s="58"/>
      <c r="G35" s="58"/>
      <c r="H35" s="58"/>
      <c r="I35" s="58"/>
      <c r="J35" s="58"/>
      <c r="K35" s="58"/>
      <c r="L35" s="58"/>
    </row>
    <row r="36" spans="1:19" ht="19">
      <c r="A36" s="57" t="s">
        <v>237</v>
      </c>
      <c r="B36" s="57"/>
      <c r="C36" s="60">
        <f>C29*C34/1000</f>
        <v>5821.8461538461534</v>
      </c>
      <c r="D36" s="60">
        <f t="shared" ref="D36:L36" si="8">D29*D34/1000</f>
        <v>15427.892307692311</v>
      </c>
      <c r="E36" s="60">
        <f t="shared" si="8"/>
        <v>16353.56584615385</v>
      </c>
      <c r="F36" s="60">
        <f t="shared" si="8"/>
        <v>17334.779796923081</v>
      </c>
      <c r="G36" s="60">
        <f t="shared" si="8"/>
        <v>18374.866584738469</v>
      </c>
      <c r="H36" s="60">
        <f t="shared" si="8"/>
        <v>19477.358579822772</v>
      </c>
      <c r="I36" s="60">
        <f t="shared" si="8"/>
        <v>20646.000094612147</v>
      </c>
      <c r="J36" s="60">
        <f t="shared" si="8"/>
        <v>21884.760100288873</v>
      </c>
      <c r="K36" s="60">
        <f t="shared" si="8"/>
        <v>23197.845706306209</v>
      </c>
      <c r="L36" s="60">
        <f t="shared" si="8"/>
        <v>24589.71644868458</v>
      </c>
    </row>
    <row r="37" spans="1:19" ht="19">
      <c r="A37" s="52"/>
      <c r="B37" s="52"/>
      <c r="C37" s="58"/>
      <c r="D37" s="58"/>
      <c r="E37" s="58"/>
      <c r="F37" s="58"/>
      <c r="G37" s="58"/>
      <c r="H37" s="58"/>
      <c r="I37" s="58"/>
      <c r="J37" s="58"/>
      <c r="K37" s="58"/>
      <c r="L37" s="58"/>
    </row>
    <row r="38" spans="1:19" ht="19">
      <c r="A38" s="52" t="s">
        <v>66</v>
      </c>
      <c r="B38" s="52"/>
      <c r="C38" s="58">
        <f>-$I13*((1+$G14)^C27)</f>
        <v>-10600</v>
      </c>
      <c r="D38" s="58">
        <f t="shared" ref="D38:L38" si="9">-$I13*((1+$G14)^D27)</f>
        <v>-11236.000000000002</v>
      </c>
      <c r="E38" s="58">
        <f t="shared" si="9"/>
        <v>-11910.160000000003</v>
      </c>
      <c r="F38" s="58">
        <f t="shared" si="9"/>
        <v>-12624.769600000003</v>
      </c>
      <c r="G38" s="58">
        <f t="shared" si="9"/>
        <v>-13382.255776000005</v>
      </c>
      <c r="H38" s="58">
        <f t="shared" si="9"/>
        <v>-14185.191122560005</v>
      </c>
      <c r="I38" s="58">
        <f t="shared" si="9"/>
        <v>-15036.302589913608</v>
      </c>
      <c r="J38" s="58">
        <f t="shared" si="9"/>
        <v>-15938.480745308423</v>
      </c>
      <c r="K38" s="58">
        <f t="shared" si="9"/>
        <v>-16894.789590026929</v>
      </c>
      <c r="L38" s="58">
        <f t="shared" si="9"/>
        <v>-17908.476965428545</v>
      </c>
    </row>
    <row r="39" spans="1:19" ht="19">
      <c r="A39" s="52"/>
      <c r="B39" s="52"/>
      <c r="C39" s="58"/>
      <c r="D39" s="58"/>
      <c r="E39" s="58"/>
      <c r="F39" s="58"/>
      <c r="G39" s="58"/>
      <c r="H39" s="58"/>
      <c r="I39" s="58"/>
      <c r="J39" s="58"/>
      <c r="K39" s="58"/>
      <c r="L39" s="58"/>
    </row>
    <row r="40" spans="1:19" ht="19">
      <c r="A40" s="57" t="s">
        <v>67</v>
      </c>
      <c r="B40" s="57"/>
      <c r="C40" s="60">
        <f>C36+C38</f>
        <v>-4778.1538461538466</v>
      </c>
      <c r="D40" s="60">
        <f t="shared" ref="D40:L40" si="10">D36+D38</f>
        <v>4191.8923076923093</v>
      </c>
      <c r="E40" s="60">
        <f t="shared" si="10"/>
        <v>4443.4058461538461</v>
      </c>
      <c r="F40" s="60">
        <f t="shared" si="10"/>
        <v>4710.0101969230782</v>
      </c>
      <c r="G40" s="60">
        <f t="shared" si="10"/>
        <v>4992.6108087384637</v>
      </c>
      <c r="H40" s="60">
        <f t="shared" si="10"/>
        <v>5292.1674572627671</v>
      </c>
      <c r="I40" s="60">
        <f t="shared" si="10"/>
        <v>5609.697504698539</v>
      </c>
      <c r="J40" s="60">
        <f t="shared" si="10"/>
        <v>5946.2793549804501</v>
      </c>
      <c r="K40" s="60">
        <f t="shared" si="10"/>
        <v>6303.0561162792801</v>
      </c>
      <c r="L40" s="60">
        <f t="shared" si="10"/>
        <v>6681.2394832560349</v>
      </c>
    </row>
    <row r="41" spans="1:19" ht="19">
      <c r="A41" s="52"/>
      <c r="B41" s="52"/>
      <c r="C41" s="58"/>
      <c r="D41" s="58"/>
      <c r="E41" s="58"/>
      <c r="F41" s="58"/>
      <c r="G41" s="58"/>
      <c r="H41" s="58"/>
      <c r="I41" s="58"/>
      <c r="J41" s="58"/>
      <c r="K41" s="58"/>
      <c r="L41" s="58"/>
    </row>
    <row r="42" spans="1:19" ht="19">
      <c r="A42" s="52" t="s">
        <v>160</v>
      </c>
      <c r="B42" s="52"/>
      <c r="C42" s="58">
        <f>-$C6/10</f>
        <v>-2500</v>
      </c>
      <c r="D42" s="58">
        <f t="shared" ref="D42:L42" si="11">-$C6/10</f>
        <v>-2500</v>
      </c>
      <c r="E42" s="58">
        <f t="shared" si="11"/>
        <v>-2500</v>
      </c>
      <c r="F42" s="58">
        <f t="shared" si="11"/>
        <v>-2500</v>
      </c>
      <c r="G42" s="58">
        <f t="shared" si="11"/>
        <v>-2500</v>
      </c>
      <c r="H42" s="58">
        <f t="shared" si="11"/>
        <v>-2500</v>
      </c>
      <c r="I42" s="58">
        <f t="shared" si="11"/>
        <v>-2500</v>
      </c>
      <c r="J42" s="58">
        <f t="shared" si="11"/>
        <v>-2500</v>
      </c>
      <c r="K42" s="58">
        <f t="shared" si="11"/>
        <v>-2500</v>
      </c>
      <c r="L42" s="58">
        <f t="shared" si="11"/>
        <v>-2500</v>
      </c>
    </row>
    <row r="43" spans="1:19" ht="19">
      <c r="A43" s="58"/>
      <c r="B43" s="59"/>
      <c r="C43" s="58"/>
      <c r="D43" s="58"/>
      <c r="E43" s="58"/>
      <c r="F43" s="58"/>
      <c r="G43" s="58"/>
      <c r="H43" s="58"/>
      <c r="I43" s="58"/>
      <c r="J43" s="58"/>
      <c r="K43" s="58"/>
      <c r="L43" s="58"/>
    </row>
    <row r="44" spans="1:19" ht="19">
      <c r="A44" s="60" t="s">
        <v>68</v>
      </c>
      <c r="B44" s="61"/>
      <c r="C44" s="60">
        <f>C40+C42</f>
        <v>-7278.1538461538466</v>
      </c>
      <c r="D44" s="60">
        <f t="shared" ref="D44:L44" si="12">D40+D42</f>
        <v>1691.8923076923093</v>
      </c>
      <c r="E44" s="60">
        <f t="shared" si="12"/>
        <v>1943.4058461538461</v>
      </c>
      <c r="F44" s="60">
        <f t="shared" si="12"/>
        <v>2210.0101969230782</v>
      </c>
      <c r="G44" s="60">
        <f t="shared" si="12"/>
        <v>2492.6108087384637</v>
      </c>
      <c r="H44" s="60">
        <f t="shared" si="12"/>
        <v>2792.1674572627671</v>
      </c>
      <c r="I44" s="60">
        <f t="shared" si="12"/>
        <v>3109.697504698539</v>
      </c>
      <c r="J44" s="60">
        <f t="shared" si="12"/>
        <v>3446.2793549804501</v>
      </c>
      <c r="K44" s="60">
        <f t="shared" si="12"/>
        <v>3803.0561162792801</v>
      </c>
      <c r="L44" s="60">
        <f t="shared" si="12"/>
        <v>4181.2394832560349</v>
      </c>
    </row>
    <row r="45" spans="1:19" ht="19">
      <c r="A45" s="60"/>
      <c r="B45" s="61"/>
      <c r="C45" s="60"/>
      <c r="D45" s="60"/>
      <c r="E45" s="60"/>
      <c r="F45" s="60"/>
      <c r="G45" s="60"/>
      <c r="H45" s="60"/>
      <c r="I45" s="60"/>
      <c r="J45" s="60"/>
      <c r="K45" s="60"/>
      <c r="L45" s="60"/>
    </row>
    <row r="46" spans="1:19" ht="19">
      <c r="A46" s="58" t="s">
        <v>133</v>
      </c>
      <c r="B46" s="59"/>
      <c r="C46" s="58">
        <f>-B81*CMPC!$C30</f>
        <v>-400.59487179487166</v>
      </c>
      <c r="D46" s="58">
        <f>-C81*CMPC!$C30</f>
        <v>-517.38227692307669</v>
      </c>
      <c r="E46" s="58">
        <f>-D81*CMPC!$C30</f>
        <v>-486.82521353846147</v>
      </c>
      <c r="F46" s="58">
        <f>-E81*CMPC!$C30</f>
        <v>-456.8347263507693</v>
      </c>
      <c r="G46" s="58">
        <f>-F81*CMPC!$C30</f>
        <v>-427.44480993181548</v>
      </c>
      <c r="H46" s="58">
        <f>-G81*CMPC!$C30</f>
        <v>-398.69149852772421</v>
      </c>
      <c r="I46" s="58">
        <f>-H81*CMPC!$C30</f>
        <v>-370.61298843938778</v>
      </c>
      <c r="J46" s="58">
        <f>-I81*CMPC!$C30</f>
        <v>-343.24976774575094</v>
      </c>
      <c r="K46" s="58">
        <f>-J81*CMPC!$C30</f>
        <v>-316.64475381049596</v>
      </c>
      <c r="L46" s="58">
        <f>-K81*CMPC!$C30</f>
        <v>-290.84343903912594</v>
      </c>
    </row>
    <row r="47" spans="1:19" ht="19">
      <c r="A47" s="58"/>
      <c r="B47" s="59"/>
      <c r="C47" s="58"/>
      <c r="D47" s="58"/>
      <c r="E47" s="58"/>
      <c r="F47" s="58"/>
      <c r="G47" s="58"/>
      <c r="H47" s="58"/>
      <c r="I47" s="58"/>
      <c r="J47" s="58"/>
      <c r="K47" s="58"/>
      <c r="L47" s="58"/>
    </row>
    <row r="48" spans="1:19" ht="19">
      <c r="A48" s="58" t="s">
        <v>134</v>
      </c>
      <c r="B48" s="59"/>
      <c r="C48" s="58">
        <f>C44+C46</f>
        <v>-7678.748717948718</v>
      </c>
      <c r="D48" s="58">
        <f t="shared" ref="D48:L48" si="13">D44+D46</f>
        <v>1174.5100307692326</v>
      </c>
      <c r="E48" s="58">
        <f t="shared" si="13"/>
        <v>1456.5806326153847</v>
      </c>
      <c r="F48" s="58">
        <f t="shared" si="13"/>
        <v>1753.1754705723088</v>
      </c>
      <c r="G48" s="58">
        <f t="shared" si="13"/>
        <v>2065.1659988066481</v>
      </c>
      <c r="H48" s="58">
        <f t="shared" si="13"/>
        <v>2393.4759587350427</v>
      </c>
      <c r="I48" s="58">
        <f t="shared" si="13"/>
        <v>2739.0845162591513</v>
      </c>
      <c r="J48" s="58">
        <f t="shared" si="13"/>
        <v>3103.0295872346992</v>
      </c>
      <c r="K48" s="58">
        <f t="shared" si="13"/>
        <v>3486.4113624687843</v>
      </c>
      <c r="L48" s="58">
        <f t="shared" si="13"/>
        <v>3890.3960442169091</v>
      </c>
    </row>
    <row r="49" spans="1:19" ht="19">
      <c r="A49" s="58"/>
      <c r="B49" s="59"/>
      <c r="C49" s="58"/>
      <c r="D49" s="58"/>
      <c r="E49" s="58"/>
      <c r="F49" s="58"/>
      <c r="G49" s="58"/>
      <c r="H49" s="58"/>
      <c r="I49" s="58"/>
      <c r="J49" s="58"/>
      <c r="K49" s="58"/>
      <c r="L49" s="58"/>
    </row>
    <row r="50" spans="1:19" s="198" customFormat="1" ht="19">
      <c r="A50" s="202" t="s">
        <v>135</v>
      </c>
      <c r="B50" s="212"/>
      <c r="C50" s="202">
        <v>0</v>
      </c>
      <c r="D50" s="202">
        <f>-IF(SUM($C48:D48)&lt;0,0,MIN(SUM($C48:D48)*CMPC!$C20,CMPC!$C20*'BP¨500 pleine capacité'!D48))</f>
        <v>0</v>
      </c>
      <c r="E50" s="202">
        <f>-IF(SUM($C48:E48)&lt;0,0,MIN(SUM($C48:E48)*CMPC!$C20,CMPC!$C20*'BP¨500 pleine capacité'!E48))</f>
        <v>0</v>
      </c>
      <c r="F50" s="202">
        <f>-IF(SUM($C48:F48)&lt;0,0,MIN(SUM($C48:F48)*CMPC!$C20,CMPC!$C20*'BP¨500 pleine capacité'!F48))</f>
        <v>0</v>
      </c>
      <c r="G50" s="202">
        <f>-IF(SUM($C48:G48)&lt;0,0,MIN(SUM($C48:G48)*CMPC!$C20,CMPC!$C20*'BP¨500 pleine capacité'!G48))</f>
        <v>0</v>
      </c>
      <c r="H50" s="202">
        <f>-IF(SUM($C48:H48)&lt;0,0,MIN(SUM($C48:H48)*CMPC!$C20,CMPC!$C20*'BP¨500 pleine capacité'!H48))</f>
        <v>-349.24781206496959</v>
      </c>
      <c r="I50" s="202">
        <f>-IF(SUM($C48:I48)&lt;0,0,MIN(SUM($C48:I48)*CMPC!$C20,CMPC!$C20*'BP¨500 pleine capacité'!I48))</f>
        <v>-821.72535487774542</v>
      </c>
      <c r="J50" s="202">
        <f>-IF(SUM($C48:J48)&lt;0,0,MIN(SUM($C48:J48)*CMPC!$C20,CMPC!$C20*'BP¨500 pleine capacité'!J48))</f>
        <v>-930.90887617040971</v>
      </c>
      <c r="K50" s="202">
        <f>-IF(SUM($C48:K48)&lt;0,0,MIN(SUM($C48:K48)*CMPC!$C20,CMPC!$C20*'BP¨500 pleine capacité'!K48))</f>
        <v>-1045.9234087406353</v>
      </c>
      <c r="L50" s="202">
        <f>-IF(SUM($C48:L48)&lt;0,0,MIN(SUM($C48:L48)*CMPC!$C20,CMPC!$C20*'BP¨500 pleine capacité'!L48))</f>
        <v>-1167.1188132650727</v>
      </c>
      <c r="M50"/>
      <c r="N50"/>
      <c r="O50"/>
      <c r="P50"/>
      <c r="Q50"/>
      <c r="R50"/>
      <c r="S50"/>
    </row>
    <row r="51" spans="1:19" ht="19">
      <c r="A51" s="58"/>
      <c r="B51" s="59"/>
      <c r="C51" s="58"/>
      <c r="D51" s="58"/>
      <c r="E51" s="58"/>
      <c r="F51" s="58"/>
      <c r="G51" s="58"/>
      <c r="H51" s="58"/>
      <c r="I51" s="58"/>
      <c r="J51" s="58"/>
      <c r="K51" s="58"/>
      <c r="L51" s="58"/>
    </row>
    <row r="52" spans="1:19" s="11" customFormat="1" ht="19">
      <c r="A52" s="213" t="s">
        <v>248</v>
      </c>
      <c r="B52" s="61"/>
      <c r="C52" s="60">
        <f>C48+C50</f>
        <v>-7678.748717948718</v>
      </c>
      <c r="D52" s="60">
        <f t="shared" ref="D52:L52" si="14">D48+D50</f>
        <v>1174.5100307692326</v>
      </c>
      <c r="E52" s="60">
        <f t="shared" si="14"/>
        <v>1456.5806326153847</v>
      </c>
      <c r="F52" s="60">
        <f t="shared" si="14"/>
        <v>1753.1754705723088</v>
      </c>
      <c r="G52" s="60">
        <f t="shared" si="14"/>
        <v>2065.1659988066481</v>
      </c>
      <c r="H52" s="60">
        <f t="shared" si="14"/>
        <v>2044.2281466700731</v>
      </c>
      <c r="I52" s="60">
        <f t="shared" si="14"/>
        <v>1917.359161381406</v>
      </c>
      <c r="J52" s="60">
        <f t="shared" si="14"/>
        <v>2172.1207110642895</v>
      </c>
      <c r="K52" s="60">
        <f t="shared" si="14"/>
        <v>2440.487953728149</v>
      </c>
      <c r="L52" s="60">
        <f t="shared" si="14"/>
        <v>2723.2772309518364</v>
      </c>
      <c r="M52"/>
      <c r="N52"/>
      <c r="O52"/>
      <c r="P52"/>
      <c r="Q52"/>
      <c r="R52"/>
      <c r="S52"/>
    </row>
    <row r="53" spans="1:19" ht="19">
      <c r="A53" s="58"/>
      <c r="B53" s="59"/>
      <c r="C53" s="58"/>
      <c r="D53" s="58"/>
      <c r="E53" s="58"/>
      <c r="F53" s="58"/>
      <c r="G53" s="58"/>
      <c r="H53" s="58"/>
      <c r="I53" s="58"/>
      <c r="J53" s="58"/>
      <c r="K53" s="58"/>
      <c r="L53" s="58"/>
    </row>
    <row r="54" spans="1:19" s="79" customFormat="1" ht="19">
      <c r="A54" s="60" t="s">
        <v>239</v>
      </c>
      <c r="B54" s="60">
        <f>B76</f>
        <v>20864.316239316242</v>
      </c>
      <c r="C54" s="60">
        <f t="shared" ref="C54:J54" si="15">C76-B76</f>
        <v>13761.426068376073</v>
      </c>
      <c r="D54" s="60">
        <f>D76-C76</f>
        <v>-2766.0237487179547</v>
      </c>
      <c r="E54" s="60">
        <f t="shared" si="15"/>
        <v>-3018.5851736410259</v>
      </c>
      <c r="F54" s="60">
        <f t="shared" si="15"/>
        <v>-3283.900284059484</v>
      </c>
      <c r="G54" s="60">
        <f t="shared" si="15"/>
        <v>-3562.7343011030607</v>
      </c>
      <c r="H54" s="60">
        <f t="shared" si="15"/>
        <v>-3506.6505471042656</v>
      </c>
      <c r="I54" s="60">
        <f t="shared" si="15"/>
        <v>-3342.5269058416561</v>
      </c>
      <c r="J54" s="60">
        <f t="shared" si="15"/>
        <v>-3557.7985201921474</v>
      </c>
      <c r="K54" s="60">
        <f>K76-J76</f>
        <v>-3784.3064314036783</v>
      </c>
      <c r="L54" s="60">
        <f>-(L115+L46*(1-TIS)-K81)</f>
        <v>-19371.373014239649</v>
      </c>
      <c r="M54"/>
      <c r="N54"/>
      <c r="O54"/>
      <c r="P54"/>
      <c r="Q54"/>
      <c r="R54"/>
      <c r="S54"/>
    </row>
    <row r="55" spans="1:19" s="79" customFormat="1" ht="19">
      <c r="A55" s="60"/>
      <c r="B55" s="60"/>
      <c r="C55" s="60"/>
      <c r="D55" s="60"/>
      <c r="E55" s="60"/>
      <c r="F55" s="60"/>
      <c r="G55" s="60"/>
      <c r="H55" s="60"/>
      <c r="I55" s="60"/>
      <c r="J55" s="60"/>
      <c r="K55" s="60"/>
      <c r="L55" s="60"/>
      <c r="M55"/>
      <c r="N55"/>
      <c r="O55"/>
      <c r="P55"/>
      <c r="Q55"/>
      <c r="R55"/>
      <c r="S55"/>
    </row>
    <row r="56" spans="1:19" s="79" customFormat="1" ht="19">
      <c r="A56" s="238" t="s">
        <v>260</v>
      </c>
      <c r="B56" s="56">
        <f>Situation!D45</f>
        <v>8</v>
      </c>
      <c r="C56" s="56">
        <f t="shared" ref="C56:L56" si="16">B56*(1+INFI)/(1+INFM)</f>
        <v>8.3546798029556655</v>
      </c>
      <c r="D56" s="56">
        <f t="shared" si="16"/>
        <v>8.7250843262394149</v>
      </c>
      <c r="E56" s="56">
        <f t="shared" si="16"/>
        <v>9.1119107249396851</v>
      </c>
      <c r="F56" s="56">
        <f t="shared" si="16"/>
        <v>9.5158870624985887</v>
      </c>
      <c r="G56" s="56">
        <f t="shared" si="16"/>
        <v>9.9377736810330095</v>
      </c>
      <c r="H56" s="56">
        <f t="shared" si="16"/>
        <v>10.378364632408859</v>
      </c>
      <c r="I56" s="56">
        <f t="shared" si="16"/>
        <v>10.838489172761962</v>
      </c>
      <c r="J56" s="56">
        <f t="shared" si="16"/>
        <v>11.319013323278504</v>
      </c>
      <c r="K56" s="56">
        <f t="shared" si="16"/>
        <v>11.820841500172627</v>
      </c>
      <c r="L56" s="56">
        <f t="shared" si="16"/>
        <v>12.344918216929051</v>
      </c>
      <c r="M56"/>
      <c r="N56"/>
      <c r="O56"/>
      <c r="P56"/>
      <c r="Q56"/>
      <c r="R56"/>
      <c r="S56"/>
    </row>
    <row r="57" spans="1:19" s="79" customFormat="1" ht="19">
      <c r="A57" s="238"/>
      <c r="B57" s="60"/>
      <c r="C57" s="60"/>
      <c r="D57" s="60"/>
      <c r="E57" s="60"/>
      <c r="F57" s="60"/>
      <c r="G57" s="60"/>
      <c r="H57" s="60"/>
      <c r="I57" s="60"/>
      <c r="J57" s="60"/>
      <c r="K57" s="60"/>
      <c r="L57" s="60"/>
      <c r="M57"/>
      <c r="N57"/>
      <c r="O57"/>
      <c r="P57"/>
      <c r="Q57"/>
      <c r="R57"/>
      <c r="S57"/>
    </row>
    <row r="58" spans="1:19" s="79" customFormat="1" ht="19">
      <c r="A58" s="238" t="s">
        <v>261</v>
      </c>
      <c r="B58" s="60">
        <f>B54/B56</f>
        <v>2608.0395299145302</v>
      </c>
      <c r="C58" s="60">
        <f>C54/C56</f>
        <v>1647.151823042655</v>
      </c>
      <c r="D58" s="60">
        <f t="shared" ref="D58:L58" si="17">D54/D56</f>
        <v>-317.01971525931765</v>
      </c>
      <c r="E58" s="60">
        <f t="shared" si="17"/>
        <v>-331.27905493839296</v>
      </c>
      <c r="F58" s="60">
        <f t="shared" si="17"/>
        <v>-345.09660134587909</v>
      </c>
      <c r="G58" s="60">
        <f t="shared" si="17"/>
        <v>-358.50427021726284</v>
      </c>
      <c r="H58" s="60">
        <f t="shared" si="17"/>
        <v>-337.8808387743415</v>
      </c>
      <c r="I58" s="60">
        <f t="shared" si="17"/>
        <v>-308.3941730773426</v>
      </c>
      <c r="J58" s="60">
        <f t="shared" si="17"/>
        <v>-314.32055238200269</v>
      </c>
      <c r="K58" s="60">
        <f t="shared" si="17"/>
        <v>-320.1384970222648</v>
      </c>
      <c r="L58" s="60">
        <f t="shared" si="17"/>
        <v>-1569.1779138459547</v>
      </c>
      <c r="M58"/>
      <c r="N58"/>
      <c r="O58"/>
      <c r="P58"/>
      <c r="Q58"/>
      <c r="R58"/>
      <c r="S58"/>
    </row>
    <row r="59" spans="1:19" ht="19">
      <c r="A59" s="62"/>
      <c r="B59" s="63"/>
      <c r="C59" s="62"/>
      <c r="D59" s="62"/>
      <c r="E59" s="62"/>
      <c r="F59" s="62"/>
      <c r="G59" s="62"/>
      <c r="H59" s="62"/>
      <c r="I59" s="62"/>
      <c r="J59" s="62"/>
      <c r="K59" s="62"/>
      <c r="L59" s="62"/>
    </row>
    <row r="60" spans="1:19" ht="19">
      <c r="A60" s="64"/>
      <c r="B60" s="65"/>
      <c r="C60" s="64"/>
      <c r="D60" s="64"/>
      <c r="E60" s="64"/>
      <c r="F60" s="64"/>
      <c r="G60" s="64"/>
      <c r="H60" s="64"/>
      <c r="I60" s="64"/>
      <c r="J60" s="64"/>
      <c r="K60" s="64"/>
      <c r="L60" s="64"/>
    </row>
    <row r="61" spans="1:19" ht="19">
      <c r="A61" s="58" t="s">
        <v>69</v>
      </c>
      <c r="B61" s="58">
        <f>C6</f>
        <v>25000</v>
      </c>
      <c r="C61" s="58">
        <f>B61</f>
        <v>25000</v>
      </c>
      <c r="D61" s="58">
        <f t="shared" ref="D61:K61" si="18">C61</f>
        <v>25000</v>
      </c>
      <c r="E61" s="58">
        <f t="shared" si="18"/>
        <v>25000</v>
      </c>
      <c r="F61" s="58">
        <f t="shared" si="18"/>
        <v>25000</v>
      </c>
      <c r="G61" s="58">
        <f t="shared" si="18"/>
        <v>25000</v>
      </c>
      <c r="H61" s="58">
        <f t="shared" si="18"/>
        <v>25000</v>
      </c>
      <c r="I61" s="58">
        <f t="shared" si="18"/>
        <v>25000</v>
      </c>
      <c r="J61" s="58">
        <f t="shared" si="18"/>
        <v>25000</v>
      </c>
      <c r="K61" s="58">
        <f t="shared" si="18"/>
        <v>25000</v>
      </c>
      <c r="L61" s="58">
        <v>0</v>
      </c>
    </row>
    <row r="62" spans="1:19" ht="19">
      <c r="A62" s="58" t="s">
        <v>70</v>
      </c>
      <c r="B62" s="58"/>
      <c r="C62" s="58">
        <f>C42</f>
        <v>-2500</v>
      </c>
      <c r="D62" s="58">
        <f t="shared" ref="D62:K62" si="19">C62+D42</f>
        <v>-5000</v>
      </c>
      <c r="E62" s="58">
        <f t="shared" si="19"/>
        <v>-7500</v>
      </c>
      <c r="F62" s="58">
        <f t="shared" si="19"/>
        <v>-10000</v>
      </c>
      <c r="G62" s="58">
        <f t="shared" si="19"/>
        <v>-12500</v>
      </c>
      <c r="H62" s="58">
        <f t="shared" si="19"/>
        <v>-15000</v>
      </c>
      <c r="I62" s="58">
        <f t="shared" si="19"/>
        <v>-17500</v>
      </c>
      <c r="J62" s="58">
        <f t="shared" si="19"/>
        <v>-20000</v>
      </c>
      <c r="K62" s="58">
        <f t="shared" si="19"/>
        <v>-22500</v>
      </c>
      <c r="L62" s="58">
        <v>0</v>
      </c>
    </row>
    <row r="63" spans="1:19" ht="19">
      <c r="A63" s="58"/>
      <c r="B63" s="58"/>
      <c r="C63" s="58"/>
      <c r="D63" s="58"/>
      <c r="E63" s="58"/>
      <c r="F63" s="58"/>
      <c r="G63" s="58"/>
      <c r="H63" s="58"/>
      <c r="I63" s="58"/>
      <c r="J63" s="58"/>
      <c r="K63" s="58"/>
      <c r="L63" s="58"/>
    </row>
    <row r="64" spans="1:19" ht="19">
      <c r="A64" s="60" t="s">
        <v>240</v>
      </c>
      <c r="B64" s="60">
        <f>B61+B62</f>
        <v>25000</v>
      </c>
      <c r="C64" s="60">
        <f>C61+C62</f>
        <v>22500</v>
      </c>
      <c r="D64" s="60">
        <f t="shared" ref="D64:L64" si="20">D61+D62</f>
        <v>20000</v>
      </c>
      <c r="E64" s="60">
        <f t="shared" si="20"/>
        <v>17500</v>
      </c>
      <c r="F64" s="60">
        <f t="shared" si="20"/>
        <v>15000</v>
      </c>
      <c r="G64" s="60">
        <f t="shared" si="20"/>
        <v>12500</v>
      </c>
      <c r="H64" s="60">
        <f t="shared" si="20"/>
        <v>10000</v>
      </c>
      <c r="I64" s="60">
        <f t="shared" si="20"/>
        <v>7500</v>
      </c>
      <c r="J64" s="60">
        <f t="shared" si="20"/>
        <v>5000</v>
      </c>
      <c r="K64" s="60">
        <f t="shared" si="20"/>
        <v>2500</v>
      </c>
      <c r="L64" s="60">
        <f t="shared" si="20"/>
        <v>0</v>
      </c>
    </row>
    <row r="65" spans="1:19" ht="19">
      <c r="A65" s="58"/>
      <c r="B65" s="58"/>
      <c r="C65" s="58"/>
      <c r="D65" s="58"/>
      <c r="E65" s="58"/>
      <c r="F65" s="58"/>
      <c r="G65" s="58"/>
      <c r="H65" s="58"/>
      <c r="I65" s="58"/>
      <c r="J65" s="58"/>
      <c r="K65" s="58"/>
      <c r="L65" s="58"/>
    </row>
    <row r="66" spans="1:19" s="198" customFormat="1" ht="19">
      <c r="A66" s="54" t="s">
        <v>54</v>
      </c>
      <c r="B66" s="58">
        <f>$D18*'Calcul des coûts'!$C$13*C29*((1+$G14)^B27)/12000</f>
        <v>743.58974358974365</v>
      </c>
      <c r="C66" s="58">
        <f>$D18*'Calcul des coûts'!$C$13*D29*((1+$G14)^C27)/12000</f>
        <v>1970.5128205128206</v>
      </c>
      <c r="D66" s="58">
        <f>$D18*'Calcul des coûts'!$C$13*E29*((1+$G14)^D27)/12000</f>
        <v>2088.7435897435898</v>
      </c>
      <c r="E66" s="58">
        <f>$D18*'Calcul des coûts'!$C$13*F29*((1+$G14)^E27)/12000</f>
        <v>2214.0682051282056</v>
      </c>
      <c r="F66" s="58">
        <f>$D18*'Calcul des coûts'!$C$13*G29*((1+$G14)^F27)/12000</f>
        <v>2346.9122974358979</v>
      </c>
      <c r="G66" s="58">
        <f>$D18*'Calcul des coûts'!$C$13*H29*((1+$G14)^G27)/12000</f>
        <v>2487.7270352820519</v>
      </c>
      <c r="H66" s="58">
        <f>$D18*'Calcul des coûts'!$C$13*I29*((1+$G14)^H27)/12000</f>
        <v>2636.9906573989756</v>
      </c>
      <c r="I66" s="58">
        <f>$D18*'Calcul des coûts'!$C$13*J29*((1+$G14)^I27)/12000</f>
        <v>2795.2100968429145</v>
      </c>
      <c r="J66" s="58">
        <f>$D18*'Calcul des coûts'!$C$13*K29*((1+$G14)^J27)/12000</f>
        <v>2962.9227026534886</v>
      </c>
      <c r="K66" s="58">
        <f>$D18*'Calcul des coûts'!$C$13*L29*((1+$G14)^K27)/12000</f>
        <v>3140.6980648126982</v>
      </c>
      <c r="L66" s="58">
        <v>0</v>
      </c>
      <c r="M66"/>
      <c r="N66"/>
      <c r="O66"/>
      <c r="P66"/>
      <c r="Q66"/>
      <c r="R66"/>
      <c r="S66"/>
    </row>
    <row r="67" spans="1:19" s="198" customFormat="1" ht="19">
      <c r="A67" s="54" t="s">
        <v>52</v>
      </c>
      <c r="B67" s="58">
        <f t="shared" ref="B67:K67" si="21">$D17*CRVU*C29*((1+$G14)^B27)/12000</f>
        <v>408.97435897435901</v>
      </c>
      <c r="C67" s="58">
        <f t="shared" si="21"/>
        <v>1083.7820512820513</v>
      </c>
      <c r="D67" s="58">
        <f t="shared" si="21"/>
        <v>1148.8089743589746</v>
      </c>
      <c r="E67" s="58">
        <f t="shared" si="21"/>
        <v>1217.7375128205131</v>
      </c>
      <c r="F67" s="58">
        <f t="shared" si="21"/>
        <v>1290.801763589744</v>
      </c>
      <c r="G67" s="58">
        <f t="shared" si="21"/>
        <v>1368.2498694051289</v>
      </c>
      <c r="H67" s="58">
        <f t="shared" si="21"/>
        <v>1450.3448615694365</v>
      </c>
      <c r="I67" s="58">
        <f t="shared" si="21"/>
        <v>1537.365553263603</v>
      </c>
      <c r="J67" s="58">
        <f t="shared" si="21"/>
        <v>1629.6074864594191</v>
      </c>
      <c r="K67" s="58">
        <f t="shared" si="21"/>
        <v>1727.3839356469841</v>
      </c>
      <c r="L67" s="58">
        <v>0</v>
      </c>
      <c r="M67"/>
      <c r="N67"/>
      <c r="O67"/>
      <c r="P67"/>
      <c r="Q67"/>
      <c r="R67"/>
      <c r="S67"/>
    </row>
    <row r="68" spans="1:19" ht="19">
      <c r="A68" s="54" t="s">
        <v>71</v>
      </c>
      <c r="B68" s="58"/>
      <c r="C68" s="58">
        <f>$D19*D31/360</f>
        <v>9737.8666666666686</v>
      </c>
      <c r="D68" s="58">
        <f t="shared" ref="D68:K68" si="22">$D19*E31/360</f>
        <v>10322.138666666669</v>
      </c>
      <c r="E68" s="58">
        <f t="shared" si="22"/>
        <v>10941.466986666668</v>
      </c>
      <c r="F68" s="58">
        <f t="shared" si="22"/>
        <v>11597.955005866672</v>
      </c>
      <c r="G68" s="58">
        <f t="shared" si="22"/>
        <v>12293.83230621867</v>
      </c>
      <c r="H68" s="58">
        <f t="shared" si="22"/>
        <v>13031.462244591794</v>
      </c>
      <c r="I68" s="58">
        <f t="shared" si="22"/>
        <v>13813.349979267297</v>
      </c>
      <c r="J68" s="58">
        <f t="shared" si="22"/>
        <v>14642.150978023339</v>
      </c>
      <c r="K68" s="58">
        <f t="shared" si="22"/>
        <v>15520.680036704738</v>
      </c>
      <c r="L68" s="58">
        <v>0</v>
      </c>
    </row>
    <row r="69" spans="1:19" s="198" customFormat="1" ht="19">
      <c r="A69" s="54" t="s">
        <v>72</v>
      </c>
      <c r="B69" s="58">
        <f>$D20*C29*'Calcul des coûts'!$C$13*((1+$G14)^B27)/360000</f>
        <v>1115.3846153846155</v>
      </c>
      <c r="C69" s="58">
        <f>$D20*D29*'Calcul des coûts'!$C$13*((1+$G14)^C27)/360000</f>
        <v>2955.7692307692309</v>
      </c>
      <c r="D69" s="58">
        <f>$D20*E29*'Calcul des coûts'!$C$13*((1+$G14)^D27)/360000</f>
        <v>3133.1153846153848</v>
      </c>
      <c r="E69" s="58">
        <f>$D20*F29*'Calcul des coûts'!$C$13*((1+$G14)^E27)/360000</f>
        <v>3321.1023076923084</v>
      </c>
      <c r="F69" s="58">
        <f>$D20*G29*'Calcul des coûts'!$C$13*((1+$G14)^F27)/360000</f>
        <v>3520.3684461538473</v>
      </c>
      <c r="G69" s="58">
        <f>$D20*H29*'Calcul des coûts'!$C$13*((1+$G14)^G27)/360000</f>
        <v>3731.5905529230781</v>
      </c>
      <c r="H69" s="58">
        <f>$D20*I29*'Calcul des coûts'!$C$13*((1+$G14)^H27)/360000</f>
        <v>3955.4859860984629</v>
      </c>
      <c r="I69" s="58">
        <f>$D20*J29*'Calcul des coûts'!$C$13*((1+$G14)^I27)/360000</f>
        <v>4192.8151452643715</v>
      </c>
      <c r="J69" s="58">
        <f>$D20*K29*'Calcul des coûts'!$C$13*((1+$G14)^J27)/360000</f>
        <v>4444.3840539802331</v>
      </c>
      <c r="K69" s="58">
        <f>$D20*L29*'Calcul des coûts'!$C$13*((1+$G14)^K27)/360000</f>
        <v>4711.0470972190469</v>
      </c>
      <c r="L69" s="58">
        <v>0</v>
      </c>
      <c r="M69"/>
      <c r="N69"/>
      <c r="O69"/>
      <c r="P69"/>
      <c r="Q69"/>
      <c r="R69"/>
      <c r="S69"/>
    </row>
    <row r="70" spans="1:19" ht="19">
      <c r="A70" s="54"/>
      <c r="B70" s="58"/>
      <c r="C70" s="58"/>
      <c r="D70" s="58"/>
      <c r="E70" s="58"/>
      <c r="F70" s="58"/>
      <c r="G70" s="58"/>
      <c r="H70" s="58"/>
      <c r="I70" s="58"/>
      <c r="J70" s="58"/>
      <c r="K70" s="58"/>
      <c r="L70" s="58"/>
    </row>
    <row r="71" spans="1:19" ht="19">
      <c r="A71" s="56" t="s">
        <v>241</v>
      </c>
      <c r="B71" s="60">
        <f>B66+B67+B68-B69</f>
        <v>37.179487179487069</v>
      </c>
      <c r="C71" s="60">
        <f t="shared" ref="C71:L71" si="23">C66+C67+C68-C69</f>
        <v>9836.3923076923093</v>
      </c>
      <c r="D71" s="60">
        <f t="shared" si="23"/>
        <v>10426.575846153848</v>
      </c>
      <c r="E71" s="60">
        <f t="shared" si="23"/>
        <v>11052.170396923078</v>
      </c>
      <c r="F71" s="60">
        <f t="shared" si="23"/>
        <v>11715.300620738468</v>
      </c>
      <c r="G71" s="60">
        <f t="shared" si="23"/>
        <v>12418.218657982772</v>
      </c>
      <c r="H71" s="60">
        <f t="shared" si="23"/>
        <v>13163.311777461744</v>
      </c>
      <c r="I71" s="60">
        <f t="shared" si="23"/>
        <v>13953.110484109442</v>
      </c>
      <c r="J71" s="60">
        <f t="shared" si="23"/>
        <v>14790.297113156012</v>
      </c>
      <c r="K71" s="60">
        <f t="shared" si="23"/>
        <v>15677.714939945376</v>
      </c>
      <c r="L71" s="60">
        <f t="shared" si="23"/>
        <v>0</v>
      </c>
    </row>
    <row r="72" spans="1:19" ht="19">
      <c r="A72" s="56"/>
      <c r="B72" s="60"/>
      <c r="C72" s="60"/>
      <c r="D72" s="60"/>
      <c r="E72" s="60"/>
      <c r="F72" s="60"/>
      <c r="G72" s="60"/>
      <c r="H72" s="60"/>
      <c r="I72" s="60"/>
      <c r="J72" s="60"/>
      <c r="K72" s="60"/>
      <c r="L72" s="60"/>
    </row>
    <row r="73" spans="1:19" ht="19">
      <c r="A73" s="56" t="s">
        <v>249</v>
      </c>
      <c r="B73" s="60">
        <f>B64+B71</f>
        <v>25037.179487179488</v>
      </c>
      <c r="C73" s="60">
        <f t="shared" ref="C73:L73" si="24">C64+C71</f>
        <v>32336.392307692309</v>
      </c>
      <c r="D73" s="60">
        <f t="shared" si="24"/>
        <v>30426.57584615385</v>
      </c>
      <c r="E73" s="60">
        <f t="shared" si="24"/>
        <v>28552.17039692308</v>
      </c>
      <c r="F73" s="60">
        <f t="shared" si="24"/>
        <v>26715.300620738468</v>
      </c>
      <c r="G73" s="60">
        <f t="shared" si="24"/>
        <v>24918.218657982772</v>
      </c>
      <c r="H73" s="60">
        <f t="shared" si="24"/>
        <v>23163.311777461742</v>
      </c>
      <c r="I73" s="60">
        <f t="shared" si="24"/>
        <v>21453.110484109442</v>
      </c>
      <c r="J73" s="60">
        <f t="shared" si="24"/>
        <v>19790.297113156012</v>
      </c>
      <c r="K73" s="60">
        <f t="shared" si="24"/>
        <v>18177.714939945377</v>
      </c>
      <c r="L73" s="60">
        <f t="shared" si="24"/>
        <v>0</v>
      </c>
    </row>
    <row r="74" spans="1:19" ht="19">
      <c r="A74" s="62"/>
      <c r="B74" s="63"/>
      <c r="C74" s="62"/>
      <c r="D74" s="62"/>
      <c r="E74" s="62"/>
      <c r="F74" s="62"/>
      <c r="G74" s="62"/>
      <c r="H74" s="62"/>
      <c r="I74" s="62"/>
      <c r="J74" s="62"/>
      <c r="K74" s="62"/>
      <c r="L74" s="62"/>
    </row>
    <row r="75" spans="1:19" ht="19">
      <c r="A75" s="58"/>
      <c r="B75" s="59"/>
      <c r="C75" s="58"/>
      <c r="D75" s="58"/>
      <c r="E75" s="58"/>
      <c r="F75" s="58"/>
      <c r="G75" s="58"/>
      <c r="H75" s="58"/>
      <c r="I75" s="58"/>
      <c r="J75" s="58"/>
      <c r="K75" s="58"/>
      <c r="L75" s="58"/>
    </row>
    <row r="76" spans="1:19" ht="19">
      <c r="A76" s="58" t="s">
        <v>131</v>
      </c>
      <c r="B76" s="58">
        <f>CMPC!C16*'BP¨500 pleine capacité'!B73</f>
        <v>20864.316239316242</v>
      </c>
      <c r="C76" s="58">
        <f>C79-C77</f>
        <v>34625.742307692315</v>
      </c>
      <c r="D76" s="58">
        <f t="shared" ref="D76:K76" si="25">D79-D77</f>
        <v>31859.71855897436</v>
      </c>
      <c r="E76" s="58">
        <f t="shared" si="25"/>
        <v>28841.133385333334</v>
      </c>
      <c r="F76" s="58">
        <f t="shared" si="25"/>
        <v>25557.23310127385</v>
      </c>
      <c r="G76" s="58">
        <f t="shared" si="25"/>
        <v>21994.49880017079</v>
      </c>
      <c r="H76" s="58">
        <f t="shared" si="25"/>
        <v>18487.848253066524</v>
      </c>
      <c r="I76" s="58">
        <f t="shared" si="25"/>
        <v>15145.321347224868</v>
      </c>
      <c r="J76" s="58">
        <f t="shared" si="25"/>
        <v>11587.522827032721</v>
      </c>
      <c r="K76" s="58">
        <f t="shared" si="25"/>
        <v>7803.2163956290424</v>
      </c>
      <c r="L76" s="58"/>
    </row>
    <row r="77" spans="1:19" ht="19">
      <c r="A77" s="58" t="s">
        <v>132</v>
      </c>
      <c r="B77" s="58">
        <v>0</v>
      </c>
      <c r="C77" s="58">
        <f>B77+C52</f>
        <v>-7678.748717948718</v>
      </c>
      <c r="D77" s="58">
        <f>C77+D52</f>
        <v>-6504.2386871794852</v>
      </c>
      <c r="E77" s="58">
        <f t="shared" ref="E77:K77" si="26">D77+E52</f>
        <v>-5047.6580545641009</v>
      </c>
      <c r="F77" s="58">
        <f t="shared" si="26"/>
        <v>-3294.4825839917921</v>
      </c>
      <c r="G77" s="58">
        <f t="shared" si="26"/>
        <v>-1229.316585185144</v>
      </c>
      <c r="H77" s="58">
        <f t="shared" si="26"/>
        <v>814.91156148492905</v>
      </c>
      <c r="I77" s="58">
        <f t="shared" si="26"/>
        <v>2732.2707228663348</v>
      </c>
      <c r="J77" s="58">
        <f>I77+J52</f>
        <v>4904.3914339306248</v>
      </c>
      <c r="K77" s="58">
        <f t="shared" si="26"/>
        <v>7344.8793876587733</v>
      </c>
      <c r="L77" s="58"/>
    </row>
    <row r="78" spans="1:19" ht="19">
      <c r="A78" s="58"/>
      <c r="B78" s="58"/>
      <c r="C78" s="58"/>
      <c r="D78" s="58"/>
      <c r="E78" s="58"/>
      <c r="F78" s="58"/>
      <c r="G78" s="58"/>
      <c r="H78" s="58"/>
      <c r="I78" s="58"/>
      <c r="J78" s="58"/>
      <c r="K78" s="58"/>
      <c r="L78" s="58"/>
    </row>
    <row r="79" spans="1:19" ht="19">
      <c r="A79" s="60" t="s">
        <v>243</v>
      </c>
      <c r="B79" s="60">
        <f>B76+B77</f>
        <v>20864.316239316242</v>
      </c>
      <c r="C79" s="60">
        <f>C73*CMPC!$C16</f>
        <v>26946.993589743593</v>
      </c>
      <c r="D79" s="60">
        <f>D73*CMPC!$C16</f>
        <v>25355.479871794876</v>
      </c>
      <c r="E79" s="60">
        <f>E73*CMPC!$C16</f>
        <v>23793.475330769234</v>
      </c>
      <c r="F79" s="60">
        <f>F73*CMPC!$C16</f>
        <v>22262.750517282057</v>
      </c>
      <c r="G79" s="60">
        <f>G73*CMPC!$C16</f>
        <v>20765.182214985645</v>
      </c>
      <c r="H79" s="60">
        <f>H73*CMPC!$C16</f>
        <v>19302.759814551453</v>
      </c>
      <c r="I79" s="60">
        <f>I73*CMPC!$C16</f>
        <v>17877.592070091203</v>
      </c>
      <c r="J79" s="60">
        <f>J73*CMPC!$C16</f>
        <v>16491.914260963345</v>
      </c>
      <c r="K79" s="60">
        <f>K73*CMPC!$C16</f>
        <v>15148.095783287816</v>
      </c>
      <c r="L79" s="60">
        <f>L73*CMPC!$C16</f>
        <v>0</v>
      </c>
    </row>
    <row r="80" spans="1:19" ht="19">
      <c r="A80" s="60"/>
      <c r="B80" s="60"/>
      <c r="C80" s="60"/>
      <c r="D80" s="60"/>
      <c r="E80" s="60"/>
      <c r="F80" s="60"/>
      <c r="G80" s="60"/>
      <c r="H80" s="60"/>
      <c r="I80" s="60"/>
      <c r="J80" s="60"/>
      <c r="K80" s="60"/>
      <c r="L80" s="60"/>
    </row>
    <row r="81" spans="1:12" ht="19">
      <c r="A81" s="60" t="s">
        <v>244</v>
      </c>
      <c r="B81" s="60">
        <f>B83-B79</f>
        <v>4172.8632478632462</v>
      </c>
      <c r="C81" s="60">
        <f t="shared" ref="C81:L81" si="27">C83-C79</f>
        <v>5389.3987179487158</v>
      </c>
      <c r="D81" s="60">
        <f t="shared" si="27"/>
        <v>5071.0959743589738</v>
      </c>
      <c r="E81" s="60">
        <f t="shared" si="27"/>
        <v>4758.6950661538467</v>
      </c>
      <c r="F81" s="60">
        <f t="shared" si="27"/>
        <v>4452.5501034564113</v>
      </c>
      <c r="G81" s="60">
        <f t="shared" si="27"/>
        <v>4153.0364429971269</v>
      </c>
      <c r="H81" s="60">
        <f t="shared" si="27"/>
        <v>3860.5519629102891</v>
      </c>
      <c r="I81" s="60">
        <f t="shared" si="27"/>
        <v>3575.5184140182391</v>
      </c>
      <c r="J81" s="60">
        <f t="shared" si="27"/>
        <v>3298.3828521926662</v>
      </c>
      <c r="K81" s="60">
        <f t="shared" si="27"/>
        <v>3029.6191566575617</v>
      </c>
      <c r="L81" s="60">
        <f t="shared" si="27"/>
        <v>0</v>
      </c>
    </row>
    <row r="82" spans="1:12" ht="19">
      <c r="A82" s="60"/>
      <c r="B82" s="60"/>
      <c r="C82" s="60"/>
      <c r="D82" s="60"/>
      <c r="E82" s="60"/>
      <c r="F82" s="60"/>
      <c r="G82" s="60"/>
      <c r="H82" s="60"/>
      <c r="I82" s="60"/>
      <c r="J82" s="60"/>
      <c r="K82" s="60"/>
      <c r="L82" s="60"/>
    </row>
    <row r="83" spans="1:12" ht="19">
      <c r="A83" s="60" t="s">
        <v>250</v>
      </c>
      <c r="B83" s="60">
        <f>B73</f>
        <v>25037.179487179488</v>
      </c>
      <c r="C83" s="60">
        <f>C73</f>
        <v>32336.392307692309</v>
      </c>
      <c r="D83" s="60">
        <f t="shared" ref="D83:L83" si="28">D73</f>
        <v>30426.57584615385</v>
      </c>
      <c r="E83" s="60">
        <f t="shared" si="28"/>
        <v>28552.17039692308</v>
      </c>
      <c r="F83" s="60">
        <f t="shared" si="28"/>
        <v>26715.300620738468</v>
      </c>
      <c r="G83" s="60">
        <f t="shared" si="28"/>
        <v>24918.218657982772</v>
      </c>
      <c r="H83" s="60">
        <f t="shared" si="28"/>
        <v>23163.311777461742</v>
      </c>
      <c r="I83" s="60">
        <f t="shared" si="28"/>
        <v>21453.110484109442</v>
      </c>
      <c r="J83" s="60">
        <f t="shared" si="28"/>
        <v>19790.297113156012</v>
      </c>
      <c r="K83" s="60">
        <f t="shared" si="28"/>
        <v>18177.714939945377</v>
      </c>
      <c r="L83" s="60">
        <f t="shared" si="28"/>
        <v>0</v>
      </c>
    </row>
    <row r="84" spans="1:12" ht="19">
      <c r="A84" s="58"/>
      <c r="B84" s="58"/>
      <c r="C84" s="58"/>
      <c r="D84" s="58"/>
      <c r="E84" s="58"/>
      <c r="F84" s="58"/>
      <c r="G84" s="58"/>
      <c r="H84" s="58"/>
      <c r="I84" s="58"/>
      <c r="J84" s="58"/>
      <c r="K84" s="58"/>
      <c r="L84" s="58"/>
    </row>
    <row r="85" spans="1:12" ht="19">
      <c r="A85" s="64"/>
      <c r="B85" s="65"/>
      <c r="C85" s="64"/>
      <c r="D85" s="64"/>
      <c r="E85" s="64"/>
      <c r="F85" s="64"/>
      <c r="G85" s="64"/>
      <c r="H85" s="64"/>
      <c r="I85" s="64"/>
      <c r="J85" s="64"/>
      <c r="K85" s="64"/>
      <c r="L85" s="64"/>
    </row>
    <row r="86" spans="1:12" ht="19">
      <c r="A86" s="60" t="s">
        <v>186</v>
      </c>
      <c r="B86" s="59"/>
      <c r="C86" s="58"/>
      <c r="D86" s="58"/>
      <c r="E86" s="58"/>
      <c r="F86" s="58"/>
      <c r="G86" s="58"/>
      <c r="H86" s="58"/>
      <c r="I86" s="58"/>
      <c r="J86" s="58"/>
      <c r="K86" s="58"/>
      <c r="L86" s="58"/>
    </row>
    <row r="87" spans="1:12" ht="19">
      <c r="A87" s="58"/>
      <c r="B87" s="59"/>
      <c r="C87" s="58"/>
      <c r="D87" s="58"/>
      <c r="E87" s="58"/>
      <c r="F87" s="58"/>
      <c r="G87" s="58"/>
      <c r="H87" s="58"/>
      <c r="I87" s="58"/>
      <c r="J87" s="58"/>
      <c r="K87" s="58"/>
      <c r="L87" s="58"/>
    </row>
    <row r="88" spans="1:12" ht="19">
      <c r="A88" s="66" t="s">
        <v>73</v>
      </c>
      <c r="B88" s="67"/>
      <c r="C88" s="67">
        <f t="shared" ref="C88:L88" si="29">C36/C31</f>
        <v>0.52810650887573962</v>
      </c>
      <c r="D88" s="67">
        <f t="shared" si="29"/>
        <v>0.52810650887573962</v>
      </c>
      <c r="E88" s="67">
        <f t="shared" si="29"/>
        <v>0.52810650887573962</v>
      </c>
      <c r="F88" s="67">
        <f>F36/F31</f>
        <v>0.52810650887573973</v>
      </c>
      <c r="G88" s="67">
        <f t="shared" si="29"/>
        <v>0.52810650887573962</v>
      </c>
      <c r="H88" s="67">
        <f t="shared" si="29"/>
        <v>0.52810650887573951</v>
      </c>
      <c r="I88" s="67">
        <f t="shared" si="29"/>
        <v>0.52810650887573962</v>
      </c>
      <c r="J88" s="67">
        <f t="shared" si="29"/>
        <v>0.52810650887573973</v>
      </c>
      <c r="K88" s="67">
        <f t="shared" si="29"/>
        <v>0.52810650887573962</v>
      </c>
      <c r="L88" s="67">
        <f t="shared" si="29"/>
        <v>0.52810650887573962</v>
      </c>
    </row>
    <row r="89" spans="1:12" ht="19">
      <c r="A89" s="66" t="s">
        <v>74</v>
      </c>
      <c r="B89" s="67"/>
      <c r="C89" s="67">
        <f>C40/C31</f>
        <v>-0.43343195266272194</v>
      </c>
      <c r="D89" s="67">
        <f t="shared" ref="D89:L89" si="30">D40/D31</f>
        <v>0.14349112426035507</v>
      </c>
      <c r="E89" s="67">
        <f t="shared" si="30"/>
        <v>0.14349112426035499</v>
      </c>
      <c r="F89" s="67">
        <f t="shared" si="30"/>
        <v>0.14349112426035504</v>
      </c>
      <c r="G89" s="67">
        <f t="shared" si="30"/>
        <v>0.14349112426035501</v>
      </c>
      <c r="H89" s="67">
        <f t="shared" si="30"/>
        <v>0.14349112426035493</v>
      </c>
      <c r="I89" s="67">
        <f t="shared" si="30"/>
        <v>0.14349112426035504</v>
      </c>
      <c r="J89" s="67">
        <f t="shared" si="30"/>
        <v>0.14349112426035504</v>
      </c>
      <c r="K89" s="67">
        <f t="shared" si="30"/>
        <v>0.1434911242603551</v>
      </c>
      <c r="L89" s="67">
        <f t="shared" si="30"/>
        <v>0.14349112426035504</v>
      </c>
    </row>
    <row r="90" spans="1:12" ht="19">
      <c r="A90" s="66" t="s">
        <v>75</v>
      </c>
      <c r="B90" s="67"/>
      <c r="C90" s="67">
        <f>C44/C31</f>
        <v>-0.66020989170481192</v>
      </c>
      <c r="D90" s="67">
        <f t="shared" ref="D90:L90" si="31">D44/D31</f>
        <v>5.7914543489755076E-2</v>
      </c>
      <c r="E90" s="67">
        <f t="shared" si="31"/>
        <v>6.2758500891864452E-2</v>
      </c>
      <c r="F90" s="67">
        <f t="shared" si="31"/>
        <v>6.7328272025930003E-2</v>
      </c>
      <c r="G90" s="67">
        <f t="shared" si="31"/>
        <v>7.1639376869388025E-2</v>
      </c>
      <c r="H90" s="67">
        <f t="shared" si="31"/>
        <v>7.570645691038605E-2</v>
      </c>
      <c r="I90" s="67">
        <f t="shared" si="31"/>
        <v>7.9543324873591961E-2</v>
      </c>
      <c r="J90" s="67">
        <f t="shared" si="31"/>
        <v>8.3163011631333258E-2</v>
      </c>
      <c r="K90" s="67">
        <f t="shared" si="31"/>
        <v>8.6577810459391141E-2</v>
      </c>
      <c r="L90" s="67">
        <f t="shared" si="31"/>
        <v>8.9799318787747551E-2</v>
      </c>
    </row>
    <row r="91" spans="1:12" ht="19">
      <c r="A91" s="66" t="s">
        <v>76</v>
      </c>
      <c r="B91" s="67"/>
      <c r="C91" s="67">
        <f t="shared" ref="C91:L91" si="32">C71/C31</f>
        <v>0.89227071005917169</v>
      </c>
      <c r="D91" s="67">
        <f t="shared" si="32"/>
        <v>0.35690828402366864</v>
      </c>
      <c r="E91" s="67">
        <f t="shared" si="32"/>
        <v>0.35690828402366859</v>
      </c>
      <c r="F91" s="67">
        <f t="shared" si="32"/>
        <v>0.35690828402366875</v>
      </c>
      <c r="G91" s="67">
        <f t="shared" si="32"/>
        <v>0.35690828402366859</v>
      </c>
      <c r="H91" s="67">
        <f t="shared" si="32"/>
        <v>0.35690828402366875</v>
      </c>
      <c r="I91" s="67">
        <f t="shared" si="32"/>
        <v>0.35690828402366848</v>
      </c>
      <c r="J91" s="67">
        <f t="shared" si="32"/>
        <v>0.3569082840236687</v>
      </c>
      <c r="K91" s="67">
        <f t="shared" si="32"/>
        <v>0.35690828402366864</v>
      </c>
      <c r="L91" s="67">
        <f t="shared" si="32"/>
        <v>0</v>
      </c>
    </row>
    <row r="92" spans="1:12" ht="19">
      <c r="A92" s="66" t="s">
        <v>77</v>
      </c>
      <c r="B92" s="59"/>
      <c r="C92" s="54">
        <f>2*C31/(C73+B73)</f>
        <v>0.38428843298842186</v>
      </c>
      <c r="D92" s="54">
        <f t="shared" ref="D92:K92" si="33">2*D31/(D73+C73)</f>
        <v>0.93091836983843401</v>
      </c>
      <c r="E92" s="54">
        <f t="shared" si="33"/>
        <v>1.0500872932216636</v>
      </c>
      <c r="F92" s="54">
        <f t="shared" si="33"/>
        <v>1.187837994233913</v>
      </c>
      <c r="G92" s="54">
        <f t="shared" si="33"/>
        <v>1.3477239399383323</v>
      </c>
      <c r="H92" s="54">
        <f t="shared" si="33"/>
        <v>1.5341232520946499</v>
      </c>
      <c r="I92" s="54">
        <f t="shared" si="33"/>
        <v>1.7524662333782861</v>
      </c>
      <c r="J92" s="54">
        <f t="shared" si="33"/>
        <v>2.009535698042054</v>
      </c>
      <c r="K92" s="54">
        <f t="shared" si="33"/>
        <v>2.3138663605898175</v>
      </c>
      <c r="L92" s="54">
        <f>L31/(K73)</f>
        <v>2.5614902788355716</v>
      </c>
    </row>
    <row r="93" spans="1:12" ht="19">
      <c r="A93" s="66" t="s">
        <v>78</v>
      </c>
      <c r="B93" s="67"/>
      <c r="C93" s="67">
        <f>2*C44/(C73+B73)</f>
        <v>-0.25371102472669788</v>
      </c>
      <c r="D93" s="67">
        <f t="shared" ref="D93:K93" si="34">2*D44/(D73+C73)</f>
        <v>5.3913712415419882E-2</v>
      </c>
      <c r="E93" s="67">
        <f t="shared" si="34"/>
        <v>6.5901904328187308E-2</v>
      </c>
      <c r="F93" s="67">
        <f t="shared" si="34"/>
        <v>7.9975079598515963E-2</v>
      </c>
      <c r="G93" s="67">
        <f t="shared" si="34"/>
        <v>9.6550103249138652E-2</v>
      </c>
      <c r="H93" s="67">
        <f t="shared" si="34"/>
        <v>0.11614303587992493</v>
      </c>
      <c r="I93" s="67">
        <f t="shared" si="34"/>
        <v>0.13939699093160904</v>
      </c>
      <c r="J93" s="67">
        <f t="shared" si="34"/>
        <v>0.16711904062985075</v>
      </c>
      <c r="K93" s="67">
        <f t="shared" si="34"/>
        <v>0.20032948319550642</v>
      </c>
      <c r="L93" s="67">
        <f>L44/(K73)</f>
        <v>0.23002008212087185</v>
      </c>
    </row>
    <row r="94" spans="1:12" ht="19">
      <c r="A94" s="62"/>
      <c r="B94" s="63"/>
      <c r="C94" s="62"/>
      <c r="D94" s="62"/>
      <c r="E94" s="62"/>
      <c r="F94" s="62"/>
      <c r="G94" s="62"/>
      <c r="H94" s="62"/>
      <c r="I94" s="62"/>
      <c r="J94" s="62"/>
      <c r="K94" s="62"/>
      <c r="L94" s="62"/>
    </row>
    <row r="95" spans="1:12" ht="20" thickBot="1">
      <c r="A95" s="69"/>
      <c r="B95" s="70"/>
      <c r="C95" s="69" t="s">
        <v>41</v>
      </c>
      <c r="D95" s="69"/>
      <c r="E95" s="69"/>
      <c r="F95" s="69"/>
      <c r="G95" s="69"/>
      <c r="H95" s="69"/>
      <c r="I95" s="69"/>
      <c r="J95" s="69"/>
      <c r="K95" s="69"/>
      <c r="L95" s="69"/>
    </row>
    <row r="96" spans="1:12" ht="23" thickTop="1" thickBot="1">
      <c r="A96" s="22" t="s">
        <v>79</v>
      </c>
      <c r="B96" s="70"/>
      <c r="C96" s="69"/>
      <c r="D96" s="69"/>
      <c r="E96" s="69"/>
      <c r="F96" s="69"/>
      <c r="G96" s="69"/>
      <c r="H96" s="69"/>
      <c r="I96" s="69"/>
      <c r="J96" s="69"/>
      <c r="K96" s="69"/>
      <c r="L96" s="69"/>
    </row>
    <row r="97" spans="1:12" ht="20" thickTop="1">
      <c r="A97" s="23"/>
      <c r="B97" s="23"/>
      <c r="C97" s="23"/>
      <c r="D97" s="23"/>
      <c r="E97" s="23"/>
      <c r="F97" s="23"/>
      <c r="G97" s="23"/>
      <c r="H97" s="23"/>
      <c r="I97" s="23"/>
      <c r="J97" s="23"/>
      <c r="K97" s="23"/>
      <c r="L97" s="23"/>
    </row>
    <row r="98" spans="1:12" ht="19">
      <c r="A98" s="71" t="s">
        <v>62</v>
      </c>
      <c r="B98" s="71">
        <v>0</v>
      </c>
      <c r="C98" s="71">
        <f>B98+1</f>
        <v>1</v>
      </c>
      <c r="D98" s="71">
        <f>C98+1</f>
        <v>2</v>
      </c>
      <c r="E98" s="71">
        <f t="shared" ref="E98:L98" si="35">D98+1</f>
        <v>3</v>
      </c>
      <c r="F98" s="71">
        <f t="shared" si="35"/>
        <v>4</v>
      </c>
      <c r="G98" s="71">
        <f t="shared" si="35"/>
        <v>5</v>
      </c>
      <c r="H98" s="71">
        <f t="shared" si="35"/>
        <v>6</v>
      </c>
      <c r="I98" s="71">
        <f t="shared" si="35"/>
        <v>7</v>
      </c>
      <c r="J98" s="71">
        <f t="shared" si="35"/>
        <v>8</v>
      </c>
      <c r="K98" s="71">
        <f t="shared" si="35"/>
        <v>9</v>
      </c>
      <c r="L98" s="71">
        <f t="shared" si="35"/>
        <v>10</v>
      </c>
    </row>
    <row r="99" spans="1:12" ht="19">
      <c r="A99" s="51"/>
      <c r="B99" s="51"/>
      <c r="C99" s="51"/>
      <c r="D99" s="51"/>
      <c r="E99" s="51"/>
      <c r="F99" s="51"/>
      <c r="G99" s="51"/>
      <c r="H99" s="51"/>
      <c r="I99" s="51"/>
      <c r="J99" s="51"/>
      <c r="K99" s="51"/>
      <c r="L99" s="51"/>
    </row>
    <row r="100" spans="1:12" ht="19">
      <c r="A100" s="72" t="s">
        <v>80</v>
      </c>
      <c r="B100" s="72"/>
      <c r="C100" s="72">
        <f>C40</f>
        <v>-4778.1538461538466</v>
      </c>
      <c r="D100" s="72">
        <f t="shared" ref="D100:L100" si="36">D40</f>
        <v>4191.8923076923093</v>
      </c>
      <c r="E100" s="72">
        <f t="shared" si="36"/>
        <v>4443.4058461538461</v>
      </c>
      <c r="F100" s="72">
        <f t="shared" si="36"/>
        <v>4710.0101969230782</v>
      </c>
      <c r="G100" s="72">
        <f t="shared" si="36"/>
        <v>4992.6108087384637</v>
      </c>
      <c r="H100" s="72">
        <f t="shared" si="36"/>
        <v>5292.1674572627671</v>
      </c>
      <c r="I100" s="72">
        <f t="shared" si="36"/>
        <v>5609.697504698539</v>
      </c>
      <c r="J100" s="72">
        <f t="shared" si="36"/>
        <v>5946.2793549804501</v>
      </c>
      <c r="K100" s="72">
        <f t="shared" si="36"/>
        <v>6303.0561162792801</v>
      </c>
      <c r="L100" s="72">
        <f t="shared" si="36"/>
        <v>6681.2394832560349</v>
      </c>
    </row>
    <row r="101" spans="1:12" ht="19">
      <c r="A101" s="72" t="s">
        <v>81</v>
      </c>
      <c r="B101" s="72"/>
      <c r="C101" s="72">
        <f t="shared" ref="C101:L101" si="37">C100*(1-$F23)</f>
        <v>-3344.7076923076925</v>
      </c>
      <c r="D101" s="72">
        <f>D100*(1-$F23)</f>
        <v>2934.3246153846162</v>
      </c>
      <c r="E101" s="72">
        <f t="shared" si="37"/>
        <v>3110.3840923076923</v>
      </c>
      <c r="F101" s="72">
        <f t="shared" si="37"/>
        <v>3297.0071378461544</v>
      </c>
      <c r="G101" s="72">
        <f t="shared" si="37"/>
        <v>3494.8275661169246</v>
      </c>
      <c r="H101" s="72">
        <f t="shared" si="37"/>
        <v>3704.5172200839365</v>
      </c>
      <c r="I101" s="72">
        <f t="shared" si="37"/>
        <v>3926.7882532889771</v>
      </c>
      <c r="J101" s="72">
        <f t="shared" si="37"/>
        <v>4162.3955484863145</v>
      </c>
      <c r="K101" s="72">
        <f t="shared" si="37"/>
        <v>4412.1392813954953</v>
      </c>
      <c r="L101" s="72">
        <f t="shared" si="37"/>
        <v>4676.8676382792237</v>
      </c>
    </row>
    <row r="102" spans="1:12" ht="19">
      <c r="A102" s="72"/>
      <c r="B102" s="72"/>
      <c r="C102" s="72"/>
      <c r="D102" s="72"/>
      <c r="E102" s="72"/>
      <c r="F102" s="72"/>
      <c r="G102" s="72"/>
      <c r="H102" s="72"/>
      <c r="I102" s="72"/>
      <c r="J102" s="72"/>
      <c r="K102" s="72"/>
      <c r="L102" s="72"/>
    </row>
    <row r="103" spans="1:12" ht="19">
      <c r="A103" s="72" t="s">
        <v>82</v>
      </c>
      <c r="B103" s="72"/>
      <c r="C103" s="72">
        <f t="shared" ref="C103:L103" si="38">-C42</f>
        <v>2500</v>
      </c>
      <c r="D103" s="72">
        <f t="shared" si="38"/>
        <v>2500</v>
      </c>
      <c r="E103" s="72">
        <f t="shared" si="38"/>
        <v>2500</v>
      </c>
      <c r="F103" s="72">
        <f t="shared" si="38"/>
        <v>2500</v>
      </c>
      <c r="G103" s="72">
        <f t="shared" si="38"/>
        <v>2500</v>
      </c>
      <c r="H103" s="72">
        <f t="shared" si="38"/>
        <v>2500</v>
      </c>
      <c r="I103" s="72">
        <f t="shared" si="38"/>
        <v>2500</v>
      </c>
      <c r="J103" s="72">
        <f t="shared" si="38"/>
        <v>2500</v>
      </c>
      <c r="K103" s="72">
        <f t="shared" si="38"/>
        <v>2500</v>
      </c>
      <c r="L103" s="72">
        <f t="shared" si="38"/>
        <v>2500</v>
      </c>
    </row>
    <row r="104" spans="1:12" ht="19">
      <c r="A104" s="72" t="s">
        <v>83</v>
      </c>
      <c r="B104" s="72"/>
      <c r="C104" s="72">
        <f t="shared" ref="C104:L104" si="39">C103*$F23</f>
        <v>750</v>
      </c>
      <c r="D104" s="72">
        <f t="shared" si="39"/>
        <v>750</v>
      </c>
      <c r="E104" s="72">
        <f t="shared" si="39"/>
        <v>750</v>
      </c>
      <c r="F104" s="72">
        <f t="shared" si="39"/>
        <v>750</v>
      </c>
      <c r="G104" s="72">
        <f t="shared" si="39"/>
        <v>750</v>
      </c>
      <c r="H104" s="72">
        <f t="shared" si="39"/>
        <v>750</v>
      </c>
      <c r="I104" s="72">
        <f t="shared" si="39"/>
        <v>750</v>
      </c>
      <c r="J104" s="72">
        <f t="shared" si="39"/>
        <v>750</v>
      </c>
      <c r="K104" s="72">
        <f t="shared" si="39"/>
        <v>750</v>
      </c>
      <c r="L104" s="72">
        <f t="shared" si="39"/>
        <v>750</v>
      </c>
    </row>
    <row r="105" spans="1:12" ht="19">
      <c r="A105" s="72"/>
      <c r="B105" s="72"/>
      <c r="C105" s="72"/>
      <c r="D105" s="72"/>
      <c r="E105" s="72"/>
      <c r="F105" s="72"/>
      <c r="G105" s="72"/>
      <c r="H105" s="72"/>
      <c r="I105" s="72"/>
      <c r="J105" s="72"/>
      <c r="K105" s="72"/>
      <c r="L105" s="72"/>
    </row>
    <row r="106" spans="1:12" ht="19">
      <c r="A106" s="72" t="s">
        <v>84</v>
      </c>
      <c r="B106" s="72"/>
      <c r="C106" s="72">
        <f>C101+C104</f>
        <v>-2594.7076923076925</v>
      </c>
      <c r="D106" s="72">
        <f t="shared" ref="D106:L106" si="40">D101+D104</f>
        <v>3684.3246153846162</v>
      </c>
      <c r="E106" s="72">
        <f t="shared" si="40"/>
        <v>3860.3840923076923</v>
      </c>
      <c r="F106" s="72">
        <f t="shared" si="40"/>
        <v>4047.0071378461544</v>
      </c>
      <c r="G106" s="72">
        <f t="shared" si="40"/>
        <v>4244.8275661169246</v>
      </c>
      <c r="H106" s="72">
        <f t="shared" si="40"/>
        <v>4454.517220083937</v>
      </c>
      <c r="I106" s="72">
        <f t="shared" si="40"/>
        <v>4676.7882532889771</v>
      </c>
      <c r="J106" s="72">
        <f t="shared" si="40"/>
        <v>4912.3955484863145</v>
      </c>
      <c r="K106" s="72">
        <f t="shared" si="40"/>
        <v>5162.1392813954953</v>
      </c>
      <c r="L106" s="72">
        <f t="shared" si="40"/>
        <v>5426.8676382792237</v>
      </c>
    </row>
    <row r="107" spans="1:12" ht="19">
      <c r="A107" s="72"/>
      <c r="B107" s="72"/>
      <c r="C107" s="72"/>
      <c r="D107" s="72"/>
      <c r="E107" s="72"/>
      <c r="F107" s="72"/>
      <c r="G107" s="72"/>
      <c r="H107" s="72"/>
      <c r="I107" s="72"/>
      <c r="J107" s="72"/>
      <c r="K107" s="72"/>
      <c r="L107" s="72"/>
    </row>
    <row r="108" spans="1:12" ht="19">
      <c r="A108" s="72" t="s">
        <v>85</v>
      </c>
      <c r="B108" s="72">
        <f>-C6</f>
        <v>-25000</v>
      </c>
      <c r="C108" s="72"/>
      <c r="D108" s="72"/>
      <c r="E108" s="72"/>
      <c r="F108" s="72"/>
      <c r="G108" s="72"/>
      <c r="H108" s="72"/>
      <c r="I108" s="72"/>
      <c r="J108" s="72"/>
      <c r="K108" s="72"/>
      <c r="L108" s="72"/>
    </row>
    <row r="109" spans="1:12" ht="19">
      <c r="A109" s="72"/>
      <c r="B109" s="72"/>
      <c r="C109" s="72"/>
      <c r="D109" s="72"/>
      <c r="E109" s="72"/>
      <c r="F109" s="72"/>
      <c r="G109" s="72"/>
      <c r="H109" s="72"/>
      <c r="I109" s="72"/>
      <c r="J109" s="72"/>
      <c r="K109" s="72"/>
      <c r="L109" s="72"/>
    </row>
    <row r="110" spans="1:12" ht="19">
      <c r="A110" s="72" t="s">
        <v>86</v>
      </c>
      <c r="B110" s="72">
        <f>-B71</f>
        <v>-37.179487179487069</v>
      </c>
      <c r="C110" s="72">
        <f>B71-C71</f>
        <v>-9799.2128205128229</v>
      </c>
      <c r="D110" s="72">
        <f t="shared" ref="D110:K110" si="41">C71-D71</f>
        <v>-590.18353846153877</v>
      </c>
      <c r="E110" s="72">
        <f t="shared" si="41"/>
        <v>-625.59455076923041</v>
      </c>
      <c r="F110" s="72">
        <f t="shared" si="41"/>
        <v>-663.1302238153894</v>
      </c>
      <c r="G110" s="72">
        <f>F71-G71</f>
        <v>-702.91803724430429</v>
      </c>
      <c r="H110" s="72">
        <f t="shared" si="41"/>
        <v>-745.09311947897186</v>
      </c>
      <c r="I110" s="72">
        <f t="shared" si="41"/>
        <v>-789.79870664769805</v>
      </c>
      <c r="J110" s="72">
        <f t="shared" si="41"/>
        <v>-837.18662904656958</v>
      </c>
      <c r="K110" s="72">
        <f t="shared" si="41"/>
        <v>-887.41782678936397</v>
      </c>
      <c r="L110" s="72">
        <f>K71-L71</f>
        <v>15677.714939945376</v>
      </c>
    </row>
    <row r="111" spans="1:12" ht="19">
      <c r="A111" s="72"/>
      <c r="B111" s="72"/>
      <c r="C111" s="72"/>
      <c r="D111" s="72"/>
      <c r="E111" s="72"/>
      <c r="F111" s="72"/>
      <c r="G111" s="72"/>
      <c r="H111" s="72"/>
      <c r="I111" s="72"/>
      <c r="J111" s="72"/>
      <c r="K111" s="72"/>
      <c r="L111" s="72"/>
    </row>
    <row r="112" spans="1:12" ht="19">
      <c r="A112" s="72" t="s">
        <v>87</v>
      </c>
      <c r="B112" s="72"/>
      <c r="C112" s="72"/>
      <c r="D112" s="72"/>
      <c r="E112" s="72"/>
      <c r="F112" s="72"/>
      <c r="G112" s="72"/>
      <c r="H112" s="72"/>
      <c r="I112" s="72"/>
      <c r="J112" s="72"/>
      <c r="K112" s="72"/>
      <c r="L112" s="72">
        <f>F6</f>
        <v>2000</v>
      </c>
    </row>
    <row r="113" spans="1:12" ht="19">
      <c r="A113" s="72" t="s">
        <v>88</v>
      </c>
      <c r="B113" s="72"/>
      <c r="C113" s="72"/>
      <c r="D113" s="72"/>
      <c r="E113" s="72"/>
      <c r="F113" s="72"/>
      <c r="G113" s="72"/>
      <c r="H113" s="72"/>
      <c r="I113" s="72"/>
      <c r="J113" s="72"/>
      <c r="K113" s="72"/>
      <c r="L113" s="72">
        <f>-L112*I6</f>
        <v>-500</v>
      </c>
    </row>
    <row r="114" spans="1:12" ht="19">
      <c r="A114" s="72"/>
      <c r="B114" s="72"/>
      <c r="C114" s="72"/>
      <c r="D114" s="72"/>
      <c r="E114" s="72"/>
      <c r="F114" s="72"/>
      <c r="G114" s="72"/>
      <c r="H114" s="72"/>
      <c r="I114" s="72"/>
      <c r="J114" s="72"/>
      <c r="K114" s="72"/>
      <c r="L114" s="72"/>
    </row>
    <row r="115" spans="1:12" ht="19">
      <c r="A115" s="72" t="s">
        <v>89</v>
      </c>
      <c r="B115" s="72">
        <f>B108+B110</f>
        <v>-25037.179487179488</v>
      </c>
      <c r="C115" s="72">
        <f>C106+C110</f>
        <v>-12393.920512820516</v>
      </c>
      <c r="D115" s="72">
        <f t="shared" ref="D115:K115" si="42">D106+D110</f>
        <v>3094.1410769230774</v>
      </c>
      <c r="E115" s="72">
        <f t="shared" si="42"/>
        <v>3234.7895415384619</v>
      </c>
      <c r="F115" s="72">
        <f t="shared" si="42"/>
        <v>3383.876914030765</v>
      </c>
      <c r="G115" s="72">
        <f t="shared" si="42"/>
        <v>3541.9095288726203</v>
      </c>
      <c r="H115" s="72">
        <f t="shared" si="42"/>
        <v>3709.4241006049651</v>
      </c>
      <c r="I115" s="72">
        <f t="shared" si="42"/>
        <v>3886.989546641279</v>
      </c>
      <c r="J115" s="72">
        <f t="shared" si="42"/>
        <v>4075.2089194397449</v>
      </c>
      <c r="K115" s="72">
        <f t="shared" si="42"/>
        <v>4274.7214546061314</v>
      </c>
      <c r="L115" s="72">
        <f>L106+L110+L112+L113</f>
        <v>22604.582578224599</v>
      </c>
    </row>
    <row r="116" spans="1:12" ht="19">
      <c r="A116" s="72"/>
      <c r="B116" s="72"/>
      <c r="C116" s="72"/>
      <c r="D116" s="72"/>
      <c r="E116" s="72"/>
      <c r="F116" s="72"/>
      <c r="G116" s="72"/>
      <c r="H116" s="72"/>
      <c r="I116" s="72"/>
      <c r="J116" s="72"/>
      <c r="K116" s="72"/>
      <c r="L116" s="72"/>
    </row>
    <row r="117" spans="1:12" ht="19">
      <c r="A117" s="72" t="s">
        <v>90</v>
      </c>
      <c r="B117" s="72">
        <f>B115/((1+$B38)^B98)</f>
        <v>-25037.179487179488</v>
      </c>
      <c r="C117" s="72">
        <f t="shared" ref="C117:L117" si="43">C115/((1+$B23)^C98)</f>
        <v>-11224.73016896118</v>
      </c>
      <c r="D117" s="72">
        <f t="shared" si="43"/>
        <v>2537.9000715566845</v>
      </c>
      <c r="E117" s="72">
        <f t="shared" si="43"/>
        <v>2402.9660787950015</v>
      </c>
      <c r="F117" s="72">
        <f t="shared" si="43"/>
        <v>2276.5823823038268</v>
      </c>
      <c r="G117" s="72">
        <f t="shared" si="43"/>
        <v>2158.1095185006034</v>
      </c>
      <c r="H117" s="72">
        <f t="shared" si="43"/>
        <v>2046.9616633697392</v>
      </c>
      <c r="I117" s="72">
        <f t="shared" si="43"/>
        <v>1942.6018396939157</v>
      </c>
      <c r="J117" s="72">
        <f t="shared" si="43"/>
        <v>1844.5375657214399</v>
      </c>
      <c r="K117" s="72">
        <f t="shared" si="43"/>
        <v>1752.3169040545074</v>
      </c>
      <c r="L117" s="72">
        <f t="shared" si="43"/>
        <v>8392.058923588691</v>
      </c>
    </row>
    <row r="118" spans="1:12" ht="19">
      <c r="A118" s="72"/>
      <c r="B118" s="72"/>
      <c r="C118" s="72"/>
      <c r="D118" s="72"/>
      <c r="E118" s="72"/>
      <c r="F118" s="72"/>
      <c r="G118" s="72"/>
      <c r="H118" s="72"/>
      <c r="I118" s="72"/>
      <c r="J118" s="72"/>
      <c r="K118" s="72"/>
      <c r="L118" s="72"/>
    </row>
    <row r="119" spans="1:12" ht="19">
      <c r="A119" s="72" t="s">
        <v>91</v>
      </c>
      <c r="B119" s="72">
        <f>B117</f>
        <v>-25037.179487179488</v>
      </c>
      <c r="C119" s="72">
        <f>B119+C117</f>
        <v>-36261.90965614067</v>
      </c>
      <c r="D119" s="72">
        <f>C119+D117</f>
        <v>-33724.009584583982</v>
      </c>
      <c r="E119" s="72">
        <f>D119+E117</f>
        <v>-31321.043505788981</v>
      </c>
      <c r="F119" s="72">
        <f t="shared" ref="F119:L119" si="44">E119+F117</f>
        <v>-29044.461123485155</v>
      </c>
      <c r="G119" s="72">
        <f t="shared" si="44"/>
        <v>-26886.351604984549</v>
      </c>
      <c r="H119" s="72">
        <f t="shared" si="44"/>
        <v>-24839.389941614809</v>
      </c>
      <c r="I119" s="72">
        <f t="shared" si="44"/>
        <v>-22896.788101920894</v>
      </c>
      <c r="J119" s="72">
        <f t="shared" si="44"/>
        <v>-21052.250536199455</v>
      </c>
      <c r="K119" s="215">
        <f t="shared" si="44"/>
        <v>-19299.933632144948</v>
      </c>
      <c r="L119" s="72">
        <f t="shared" si="44"/>
        <v>-10907.874708556257</v>
      </c>
    </row>
    <row r="120" spans="1:12" ht="19">
      <c r="A120" s="73"/>
      <c r="B120" s="73"/>
      <c r="C120" s="73"/>
      <c r="D120" s="73"/>
      <c r="E120" s="73"/>
      <c r="F120" s="73"/>
      <c r="G120" s="73"/>
      <c r="H120" s="73"/>
      <c r="I120" s="73"/>
      <c r="J120" s="73"/>
      <c r="K120" s="73"/>
      <c r="L120" s="73"/>
    </row>
    <row r="121" spans="1:12" ht="19">
      <c r="A121" s="35"/>
      <c r="B121" s="36"/>
      <c r="C121" s="36"/>
      <c r="D121" s="36"/>
      <c r="E121" s="36"/>
      <c r="F121" s="36"/>
      <c r="G121" s="36"/>
      <c r="H121" s="36"/>
      <c r="I121" s="36"/>
      <c r="J121" s="36"/>
      <c r="K121" s="36"/>
      <c r="L121" s="38"/>
    </row>
    <row r="122" spans="1:12" ht="19">
      <c r="A122" s="80" t="s">
        <v>247</v>
      </c>
      <c r="B122" s="27">
        <f>L119</f>
        <v>-10907.874708556257</v>
      </c>
      <c r="E122" s="81" t="s">
        <v>92</v>
      </c>
      <c r="F122" s="23"/>
      <c r="G122" s="23"/>
      <c r="H122" s="82">
        <f>IRR(B115:L115,0)</f>
        <v>4.6840995489452864E-2</v>
      </c>
      <c r="J122" s="32" t="s">
        <v>141</v>
      </c>
      <c r="L122" s="83">
        <f>IRR(B54:L54,10%)</f>
        <v>4.2391618815993626E-2</v>
      </c>
    </row>
    <row r="123" spans="1:12" ht="19">
      <c r="A123" s="39"/>
      <c r="B123" s="23"/>
      <c r="C123" s="23"/>
      <c r="D123" s="23"/>
      <c r="E123" s="23"/>
      <c r="F123" s="23"/>
      <c r="G123" s="23"/>
      <c r="H123" s="23"/>
      <c r="I123" s="23"/>
      <c r="J123" s="23"/>
      <c r="K123" s="23"/>
      <c r="L123" s="41"/>
    </row>
    <row r="124" spans="1:12" ht="19">
      <c r="A124" s="84" t="s">
        <v>93</v>
      </c>
      <c r="B124" s="27" t="s">
        <v>235</v>
      </c>
      <c r="C124" s="23" t="s">
        <v>94</v>
      </c>
      <c r="D124" s="23"/>
      <c r="E124" s="26" t="s">
        <v>144</v>
      </c>
      <c r="F124" s="26"/>
      <c r="G124" s="26"/>
      <c r="H124" s="96">
        <f>AVERAGE(C93:L93)*(1-F23)</f>
        <v>6.2694688533562873E-2</v>
      </c>
      <c r="I124" s="23"/>
      <c r="J124" s="32" t="s">
        <v>142</v>
      </c>
      <c r="K124" s="23"/>
      <c r="L124" s="83">
        <f>IRR(B58:L58,10%)</f>
        <v>-1.8608555677154248E-3</v>
      </c>
    </row>
    <row r="125" spans="1:12">
      <c r="A125" s="13"/>
      <c r="B125" s="14"/>
      <c r="C125" s="14"/>
      <c r="D125" s="14"/>
      <c r="E125" s="14"/>
      <c r="F125" s="14"/>
      <c r="G125" s="14"/>
      <c r="H125" s="14"/>
      <c r="I125" s="14"/>
      <c r="J125" s="14"/>
      <c r="K125" s="14"/>
      <c r="L125" s="15"/>
    </row>
    <row r="126" spans="1:12" ht="17" thickBot="1"/>
    <row r="127" spans="1:12" ht="19">
      <c r="A127" s="85"/>
      <c r="B127" s="86"/>
      <c r="C127" s="87"/>
    </row>
    <row r="128" spans="1:12" ht="19">
      <c r="A128" s="214" t="s">
        <v>143</v>
      </c>
      <c r="B128" s="69">
        <f>-NPV(CMPC!B34,'BP¨500 pleine capacité'!B58:L58)</f>
        <v>-1417.4281801352763</v>
      </c>
      <c r="C128" s="90" t="s">
        <v>262</v>
      </c>
      <c r="D128" s="205"/>
    </row>
    <row r="129" spans="1:4" ht="19">
      <c r="A129" s="91"/>
      <c r="B129" s="23"/>
      <c r="C129" s="90"/>
      <c r="D129" s="198"/>
    </row>
    <row r="130" spans="1:4" ht="19">
      <c r="A130" s="91"/>
      <c r="B130" s="99">
        <f>-NPV(CMPC!C26,'BP¨500 pleine capacité'!B54:L54)</f>
        <v>-10245.988473347876</v>
      </c>
      <c r="C130" s="90" t="s">
        <v>234</v>
      </c>
      <c r="D130" s="205"/>
    </row>
    <row r="131" spans="1:4" ht="20" thickBot="1">
      <c r="A131" s="93"/>
      <c r="B131" s="94"/>
      <c r="C131" s="9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74C1-AC43-0B4C-A509-F180A1D5A570}">
  <dimension ref="A1:R131"/>
  <sheetViews>
    <sheetView showGridLines="0" zoomScale="140" zoomScaleNormal="140" workbookViewId="0">
      <selection activeCell="A8" sqref="A8"/>
    </sheetView>
  </sheetViews>
  <sheetFormatPr baseColWidth="10" defaultRowHeight="16"/>
  <cols>
    <col min="1" max="1" width="43.1640625" customWidth="1"/>
    <col min="2" max="12" width="14.83203125" customWidth="1"/>
  </cols>
  <sheetData>
    <row r="1" spans="1:12" ht="20" thickBot="1">
      <c r="A1" s="23"/>
      <c r="B1" s="23"/>
      <c r="C1" s="23"/>
      <c r="D1" s="23"/>
      <c r="E1" s="23"/>
      <c r="F1" s="23"/>
      <c r="G1" s="23"/>
      <c r="H1" s="23"/>
      <c r="I1" s="23"/>
      <c r="J1" s="23"/>
      <c r="K1" s="23"/>
      <c r="L1" s="23"/>
    </row>
    <row r="2" spans="1:12" ht="31" thickTop="1" thickBot="1">
      <c r="A2" s="22" t="s">
        <v>39</v>
      </c>
      <c r="B2" s="23"/>
      <c r="C2" s="23"/>
      <c r="D2" s="23"/>
      <c r="E2" s="23"/>
      <c r="F2" s="24" t="s">
        <v>40</v>
      </c>
      <c r="G2" s="23"/>
      <c r="H2" s="23"/>
      <c r="I2" s="23"/>
      <c r="J2" s="23"/>
      <c r="K2" s="23"/>
      <c r="L2" s="23"/>
    </row>
    <row r="3" spans="1:12" ht="20" thickTop="1">
      <c r="A3" s="23"/>
      <c r="B3" s="23"/>
      <c r="C3" s="23"/>
      <c r="D3" s="23"/>
      <c r="E3" s="23"/>
      <c r="F3" s="23"/>
      <c r="G3" s="23"/>
      <c r="H3" s="23"/>
      <c r="I3" s="23"/>
      <c r="J3" s="23" t="s">
        <v>41</v>
      </c>
      <c r="K3" s="23"/>
      <c r="L3" s="23"/>
    </row>
    <row r="4" spans="1:12" ht="21">
      <c r="A4" s="25"/>
      <c r="B4" s="26"/>
      <c r="C4" s="26"/>
      <c r="D4" s="26"/>
      <c r="E4" s="26"/>
      <c r="F4" s="26"/>
      <c r="G4" s="26"/>
      <c r="H4" s="26"/>
      <c r="I4" s="26"/>
      <c r="J4" s="26"/>
      <c r="K4" s="26"/>
      <c r="L4" s="26"/>
    </row>
    <row r="5" spans="1:12" ht="19">
      <c r="A5" s="26"/>
      <c r="B5" s="201"/>
      <c r="C5" s="26"/>
      <c r="D5" s="26"/>
      <c r="E5" s="26"/>
      <c r="F5" s="26"/>
      <c r="G5" s="26"/>
      <c r="H5" s="26"/>
      <c r="I5" s="26"/>
      <c r="J5" s="26"/>
      <c r="K5" s="26"/>
      <c r="L5" s="26"/>
    </row>
    <row r="6" spans="1:12" ht="19">
      <c r="A6" s="27" t="s">
        <v>42</v>
      </c>
      <c r="B6" s="28" t="s">
        <v>246</v>
      </c>
      <c r="C6" s="100">
        <v>15000</v>
      </c>
      <c r="D6" s="28" t="s">
        <v>43</v>
      </c>
      <c r="E6" s="30"/>
      <c r="F6" s="75">
        <v>2000</v>
      </c>
      <c r="G6" s="28" t="s">
        <v>44</v>
      </c>
      <c r="H6" s="30"/>
      <c r="I6" s="31">
        <v>0.25</v>
      </c>
      <c r="J6" s="23"/>
      <c r="K6" s="26"/>
      <c r="L6" s="26"/>
    </row>
    <row r="7" spans="1:12" ht="19">
      <c r="A7" s="23"/>
      <c r="B7" s="26"/>
      <c r="C7" s="26"/>
      <c r="D7" s="26"/>
      <c r="E7" s="26"/>
      <c r="F7" s="26"/>
      <c r="G7" s="26"/>
      <c r="H7" s="26"/>
      <c r="I7" s="26"/>
      <c r="J7" s="26"/>
      <c r="K7" s="26"/>
      <c r="L7" s="26"/>
    </row>
    <row r="8" spans="1:12" ht="40">
      <c r="A8" s="278" t="s">
        <v>153</v>
      </c>
      <c r="B8" s="26"/>
      <c r="C8" s="26"/>
      <c r="D8" s="26"/>
      <c r="E8" s="26"/>
      <c r="F8" s="26"/>
      <c r="G8" s="26"/>
      <c r="H8" s="26"/>
      <c r="I8" s="26"/>
      <c r="J8" s="26"/>
      <c r="K8" s="26"/>
      <c r="L8" s="26"/>
    </row>
    <row r="9" spans="1:12" ht="19">
      <c r="A9" s="26"/>
      <c r="B9" s="26"/>
      <c r="C9" s="26"/>
      <c r="D9" s="26"/>
      <c r="E9" s="26"/>
      <c r="F9" s="26"/>
      <c r="G9" s="26"/>
      <c r="H9" s="26"/>
      <c r="I9" s="26"/>
      <c r="J9" s="26"/>
      <c r="K9" s="26"/>
      <c r="L9" s="26"/>
    </row>
    <row r="10" spans="1:12" ht="19">
      <c r="A10" s="33" t="s">
        <v>45</v>
      </c>
      <c r="B10" s="33">
        <v>0</v>
      </c>
      <c r="C10" s="33">
        <v>1</v>
      </c>
      <c r="D10" s="33">
        <f>C10+1</f>
        <v>2</v>
      </c>
      <c r="E10" s="33">
        <f t="shared" ref="E10:L10" si="0">D10+1</f>
        <v>3</v>
      </c>
      <c r="F10" s="33">
        <f t="shared" si="0"/>
        <v>4</v>
      </c>
      <c r="G10" s="33">
        <f t="shared" si="0"/>
        <v>5</v>
      </c>
      <c r="H10" s="33">
        <f t="shared" si="0"/>
        <v>6</v>
      </c>
      <c r="I10" s="33">
        <f t="shared" si="0"/>
        <v>7</v>
      </c>
      <c r="J10" s="33">
        <f t="shared" si="0"/>
        <v>8</v>
      </c>
      <c r="K10" s="33">
        <f t="shared" si="0"/>
        <v>9</v>
      </c>
      <c r="L10" s="33">
        <f t="shared" si="0"/>
        <v>10</v>
      </c>
    </row>
    <row r="11" spans="1:12" ht="19">
      <c r="A11" s="33" t="s">
        <v>46</v>
      </c>
      <c r="B11" s="33">
        <v>0</v>
      </c>
      <c r="C11" s="33">
        <f>Situation!F28</f>
        <v>200</v>
      </c>
      <c r="D11" s="33">
        <f>Situation!F29</f>
        <v>500</v>
      </c>
      <c r="E11" s="33">
        <f>D11</f>
        <v>500</v>
      </c>
      <c r="F11" s="33">
        <f t="shared" ref="F11:L11" si="1">E11</f>
        <v>500</v>
      </c>
      <c r="G11" s="33">
        <f t="shared" si="1"/>
        <v>500</v>
      </c>
      <c r="H11" s="33">
        <f t="shared" si="1"/>
        <v>500</v>
      </c>
      <c r="I11" s="33">
        <f t="shared" si="1"/>
        <v>500</v>
      </c>
      <c r="J11" s="33">
        <f t="shared" si="1"/>
        <v>500</v>
      </c>
      <c r="K11" s="33">
        <f t="shared" si="1"/>
        <v>500</v>
      </c>
      <c r="L11" s="33">
        <f t="shared" si="1"/>
        <v>500</v>
      </c>
    </row>
    <row r="12" spans="1:12" ht="19">
      <c r="A12" s="26"/>
      <c r="B12" s="26"/>
      <c r="C12" s="26"/>
      <c r="D12" s="26"/>
      <c r="E12" s="26"/>
      <c r="F12" s="26"/>
      <c r="G12" s="26"/>
      <c r="H12" s="26"/>
      <c r="I12" s="26"/>
      <c r="J12" s="26"/>
      <c r="K12" s="26"/>
      <c r="L12" s="26"/>
    </row>
    <row r="13" spans="1:12" ht="19">
      <c r="A13" s="32" t="s">
        <v>47</v>
      </c>
      <c r="B13" s="28" t="s">
        <v>146</v>
      </c>
      <c r="C13" s="30"/>
      <c r="D13" s="75">
        <f>PVU</f>
        <v>52000</v>
      </c>
      <c r="E13" s="28" t="s">
        <v>147</v>
      </c>
      <c r="F13" s="30"/>
      <c r="G13" s="75">
        <f>CRVU</f>
        <v>24538.461538461539</v>
      </c>
      <c r="H13" s="28" t="s">
        <v>48</v>
      </c>
      <c r="I13" s="78">
        <f>CFX</f>
        <v>10000</v>
      </c>
      <c r="J13" s="34" t="s">
        <v>234</v>
      </c>
      <c r="K13" s="26"/>
      <c r="L13" s="26"/>
    </row>
    <row r="14" spans="1:12" ht="19">
      <c r="A14" s="26"/>
      <c r="B14" s="28" t="s">
        <v>49</v>
      </c>
      <c r="C14" s="30"/>
      <c r="D14" s="31">
        <v>0.06</v>
      </c>
      <c r="E14" s="28" t="s">
        <v>50</v>
      </c>
      <c r="F14" s="30"/>
      <c r="G14" s="31">
        <v>0.06</v>
      </c>
      <c r="H14" s="26"/>
      <c r="I14" s="26"/>
      <c r="J14" s="26"/>
      <c r="K14" s="26"/>
      <c r="L14" s="26"/>
    </row>
    <row r="15" spans="1:12" ht="19">
      <c r="A15" s="23"/>
      <c r="B15" s="26"/>
      <c r="C15" s="26"/>
      <c r="D15" s="26"/>
      <c r="E15" s="26"/>
      <c r="F15" s="26"/>
      <c r="G15" s="26"/>
      <c r="H15" s="26"/>
      <c r="I15" s="26"/>
      <c r="J15" s="26"/>
      <c r="K15" s="26"/>
      <c r="L15" s="26"/>
    </row>
    <row r="16" spans="1:12" ht="19">
      <c r="A16" s="32" t="s">
        <v>51</v>
      </c>
      <c r="B16" s="35"/>
      <c r="C16" s="36"/>
      <c r="D16" s="37"/>
      <c r="E16" s="36"/>
      <c r="F16" s="38"/>
      <c r="G16" s="26"/>
      <c r="H16" s="26"/>
      <c r="I16" s="26"/>
      <c r="J16" s="26"/>
      <c r="K16" s="26"/>
      <c r="L16" s="26"/>
    </row>
    <row r="17" spans="1:18" ht="19">
      <c r="A17" s="26"/>
      <c r="B17" s="39" t="s">
        <v>52</v>
      </c>
      <c r="C17" s="23"/>
      <c r="D17" s="40">
        <v>1</v>
      </c>
      <c r="E17" s="23" t="s">
        <v>53</v>
      </c>
      <c r="F17" s="41"/>
      <c r="G17" s="26"/>
      <c r="H17" s="26"/>
      <c r="I17" s="26"/>
      <c r="J17" s="26"/>
      <c r="K17" s="26"/>
      <c r="L17" s="26"/>
    </row>
    <row r="18" spans="1:18" ht="19">
      <c r="A18" s="26"/>
      <c r="B18" s="39" t="s">
        <v>54</v>
      </c>
      <c r="C18" s="23"/>
      <c r="D18" s="40">
        <v>2</v>
      </c>
      <c r="E18" s="23" t="s">
        <v>55</v>
      </c>
      <c r="F18" s="41"/>
      <c r="G18" s="26"/>
      <c r="H18" s="26"/>
      <c r="I18" s="26"/>
      <c r="J18" s="26"/>
      <c r="K18" s="26"/>
      <c r="L18" s="26"/>
    </row>
    <row r="19" spans="1:18" ht="19">
      <c r="A19" s="26"/>
      <c r="B19" s="39" t="s">
        <v>56</v>
      </c>
      <c r="C19" s="23"/>
      <c r="D19" s="23">
        <v>120</v>
      </c>
      <c r="E19" s="23" t="s">
        <v>57</v>
      </c>
      <c r="F19" s="41"/>
      <c r="G19" s="26"/>
      <c r="H19" s="26"/>
      <c r="I19" s="26"/>
      <c r="J19" s="26"/>
      <c r="K19" s="26"/>
      <c r="L19" s="26"/>
    </row>
    <row r="20" spans="1:18" ht="19">
      <c r="A20" s="26"/>
      <c r="B20" s="39" t="s">
        <v>58</v>
      </c>
      <c r="C20" s="23"/>
      <c r="D20" s="23">
        <v>90</v>
      </c>
      <c r="E20" s="23" t="s">
        <v>59</v>
      </c>
      <c r="F20" s="41"/>
      <c r="G20" s="26"/>
      <c r="H20" s="26"/>
      <c r="I20" s="26"/>
      <c r="J20" s="26"/>
      <c r="K20" s="26"/>
      <c r="L20" s="26"/>
    </row>
    <row r="21" spans="1:18" ht="19">
      <c r="A21" s="26"/>
      <c r="B21" s="42"/>
      <c r="C21" s="43"/>
      <c r="D21" s="44"/>
      <c r="E21" s="43"/>
      <c r="F21" s="45"/>
      <c r="G21" s="26"/>
      <c r="H21" s="26"/>
      <c r="I21" s="26"/>
      <c r="J21" s="26"/>
      <c r="K21" s="26"/>
      <c r="L21" s="26"/>
    </row>
    <row r="22" spans="1:18" ht="19">
      <c r="A22" s="26"/>
      <c r="B22" s="23"/>
      <c r="C22" s="23"/>
      <c r="D22" s="46"/>
      <c r="E22" s="23"/>
      <c r="F22" s="23"/>
      <c r="G22" s="26"/>
      <c r="H22" s="26"/>
      <c r="I22" s="26"/>
      <c r="J22" s="26"/>
      <c r="K22" s="26"/>
      <c r="L22" s="26"/>
    </row>
    <row r="23" spans="1:18" ht="19">
      <c r="A23" s="47" t="s">
        <v>31</v>
      </c>
      <c r="B23" s="97">
        <f>CMPC!C34</f>
        <v>0.104162</v>
      </c>
      <c r="C23" s="23"/>
      <c r="D23" s="48" t="s">
        <v>60</v>
      </c>
      <c r="E23" s="49"/>
      <c r="F23" s="98">
        <f>TIS</f>
        <v>0.3</v>
      </c>
      <c r="G23" s="26"/>
      <c r="H23" s="26"/>
      <c r="I23" s="26"/>
      <c r="J23" s="26"/>
      <c r="K23" s="26"/>
      <c r="L23" s="26"/>
    </row>
    <row r="24" spans="1:18" ht="20" thickBot="1">
      <c r="A24" s="23"/>
      <c r="B24" s="23"/>
      <c r="C24" s="23"/>
      <c r="D24" s="23"/>
      <c r="E24" s="23"/>
      <c r="F24" s="23"/>
      <c r="G24" s="23"/>
      <c r="H24" s="23"/>
      <c r="I24" s="23"/>
      <c r="J24" s="23"/>
      <c r="K24" s="23"/>
      <c r="L24" s="23"/>
    </row>
    <row r="25" spans="1:18" ht="23" thickTop="1" thickBot="1">
      <c r="A25" s="22" t="s">
        <v>61</v>
      </c>
      <c r="B25" s="23"/>
      <c r="C25" s="23" t="s">
        <v>41</v>
      </c>
      <c r="D25" s="23"/>
      <c r="E25" s="23"/>
      <c r="F25" s="23"/>
      <c r="G25" s="23"/>
      <c r="H25" s="23"/>
      <c r="I25" s="23"/>
      <c r="J25" s="23"/>
      <c r="K25" s="23"/>
      <c r="L25" s="23"/>
    </row>
    <row r="26" spans="1:18" ht="20" thickTop="1">
      <c r="A26" s="23"/>
      <c r="B26" s="23"/>
      <c r="C26" s="23"/>
      <c r="D26" s="23"/>
      <c r="E26" s="23"/>
      <c r="F26" s="23"/>
      <c r="G26" s="23"/>
      <c r="H26" s="23"/>
      <c r="I26" s="23"/>
      <c r="J26" s="23"/>
      <c r="K26" s="23"/>
      <c r="L26" s="23"/>
    </row>
    <row r="27" spans="1:18" ht="19">
      <c r="A27" s="33" t="s">
        <v>62</v>
      </c>
      <c r="B27" s="33">
        <v>0</v>
      </c>
      <c r="C27" s="33">
        <v>1</v>
      </c>
      <c r="D27" s="33">
        <f>C27+1</f>
        <v>2</v>
      </c>
      <c r="E27" s="33">
        <f t="shared" ref="E27:L27" si="2">D27+1</f>
        <v>3</v>
      </c>
      <c r="F27" s="33">
        <f t="shared" si="2"/>
        <v>4</v>
      </c>
      <c r="G27" s="33">
        <f t="shared" si="2"/>
        <v>5</v>
      </c>
      <c r="H27" s="33">
        <f t="shared" si="2"/>
        <v>6</v>
      </c>
      <c r="I27" s="33">
        <f t="shared" si="2"/>
        <v>7</v>
      </c>
      <c r="J27" s="33">
        <f t="shared" si="2"/>
        <v>8</v>
      </c>
      <c r="K27" s="33">
        <f t="shared" si="2"/>
        <v>9</v>
      </c>
      <c r="L27" s="33">
        <f t="shared" si="2"/>
        <v>10</v>
      </c>
    </row>
    <row r="28" spans="1:18" ht="19">
      <c r="A28" s="50"/>
      <c r="B28" s="50"/>
      <c r="C28" s="50"/>
      <c r="D28" s="50"/>
      <c r="E28" s="50"/>
      <c r="F28" s="50"/>
      <c r="G28" s="50"/>
      <c r="H28" s="50"/>
      <c r="I28" s="50"/>
      <c r="J28" s="50"/>
      <c r="K28" s="51"/>
      <c r="L28" s="51"/>
    </row>
    <row r="29" spans="1:18" ht="19">
      <c r="A29" s="52" t="s">
        <v>46</v>
      </c>
      <c r="B29" s="53">
        <f t="shared" ref="B29:L29" si="3">B11</f>
        <v>0</v>
      </c>
      <c r="C29" s="53">
        <f t="shared" si="3"/>
        <v>200</v>
      </c>
      <c r="D29" s="53">
        <f t="shared" si="3"/>
        <v>500</v>
      </c>
      <c r="E29" s="53">
        <f t="shared" si="3"/>
        <v>500</v>
      </c>
      <c r="F29" s="53">
        <f t="shared" si="3"/>
        <v>500</v>
      </c>
      <c r="G29" s="53">
        <f t="shared" si="3"/>
        <v>500</v>
      </c>
      <c r="H29" s="53">
        <f t="shared" si="3"/>
        <v>500</v>
      </c>
      <c r="I29" s="53">
        <f t="shared" si="3"/>
        <v>500</v>
      </c>
      <c r="J29" s="53">
        <f t="shared" si="3"/>
        <v>500</v>
      </c>
      <c r="K29" s="53">
        <f t="shared" si="3"/>
        <v>500</v>
      </c>
      <c r="L29" s="53">
        <f t="shared" si="3"/>
        <v>500</v>
      </c>
    </row>
    <row r="30" spans="1:18" s="76" customFormat="1" ht="19">
      <c r="A30" s="58" t="s">
        <v>63</v>
      </c>
      <c r="B30" s="58"/>
      <c r="C30" s="58">
        <f>$D13*((1+$D14)^C27)</f>
        <v>55120</v>
      </c>
      <c r="D30" s="58">
        <f t="shared" ref="D30:L30" si="4">$D13*((1+$D14)^D27)</f>
        <v>58427.200000000012</v>
      </c>
      <c r="E30" s="58">
        <f t="shared" si="4"/>
        <v>61932.832000000017</v>
      </c>
      <c r="F30" s="58">
        <f t="shared" si="4"/>
        <v>65648.801920000013</v>
      </c>
      <c r="G30" s="58">
        <f t="shared" si="4"/>
        <v>69587.730035200031</v>
      </c>
      <c r="H30" s="58">
        <f t="shared" si="4"/>
        <v>73762.993837312024</v>
      </c>
      <c r="I30" s="58">
        <f t="shared" si="4"/>
        <v>78188.773467550767</v>
      </c>
      <c r="J30" s="58">
        <f t="shared" si="4"/>
        <v>82880.099875603803</v>
      </c>
      <c r="K30" s="58">
        <f t="shared" si="4"/>
        <v>87852.905868140035</v>
      </c>
      <c r="L30" s="58">
        <f t="shared" si="4"/>
        <v>93124.080220228439</v>
      </c>
      <c r="M30"/>
      <c r="N30"/>
      <c r="O30"/>
      <c r="P30"/>
      <c r="Q30"/>
      <c r="R30"/>
    </row>
    <row r="31" spans="1:18" s="77" customFormat="1" ht="19">
      <c r="A31" s="56" t="s">
        <v>236</v>
      </c>
      <c r="B31" s="56"/>
      <c r="C31" s="60">
        <f>C29*C30/1000</f>
        <v>11024</v>
      </c>
      <c r="D31" s="60">
        <f t="shared" ref="D31:L31" si="5">D29*D30/1000</f>
        <v>29213.600000000006</v>
      </c>
      <c r="E31" s="60">
        <f t="shared" si="5"/>
        <v>30966.416000000008</v>
      </c>
      <c r="F31" s="60">
        <f t="shared" si="5"/>
        <v>32824.400960000006</v>
      </c>
      <c r="G31" s="60">
        <f t="shared" si="5"/>
        <v>34793.865017600016</v>
      </c>
      <c r="H31" s="60">
        <f t="shared" si="5"/>
        <v>36881.496918656012</v>
      </c>
      <c r="I31" s="60">
        <f t="shared" si="5"/>
        <v>39094.386733775384</v>
      </c>
      <c r="J31" s="60">
        <f t="shared" si="5"/>
        <v>41440.049937801894</v>
      </c>
      <c r="K31" s="60">
        <f t="shared" si="5"/>
        <v>43926.452934070017</v>
      </c>
      <c r="L31" s="60">
        <f t="shared" si="5"/>
        <v>46562.04011011422</v>
      </c>
      <c r="M31"/>
      <c r="N31"/>
      <c r="O31"/>
      <c r="P31"/>
      <c r="Q31"/>
      <c r="R31"/>
    </row>
    <row r="32" spans="1:18" ht="19">
      <c r="A32" s="55"/>
      <c r="B32" s="55"/>
      <c r="C32" s="60"/>
      <c r="D32" s="60"/>
      <c r="E32" s="60"/>
      <c r="F32" s="60"/>
      <c r="G32" s="60"/>
      <c r="H32" s="60"/>
      <c r="I32" s="60"/>
      <c r="J32" s="60"/>
      <c r="K32" s="60"/>
      <c r="L32" s="60"/>
    </row>
    <row r="33" spans="1:18" ht="19">
      <c r="A33" s="54" t="s">
        <v>64</v>
      </c>
      <c r="B33" s="54"/>
      <c r="C33" s="58">
        <f>$G13*((1+$G14)^C27)</f>
        <v>26010.769230769234</v>
      </c>
      <c r="D33" s="58">
        <f t="shared" ref="D33:L33" si="6">$G13*((1+$G14)^D27)</f>
        <v>27571.415384615389</v>
      </c>
      <c r="E33" s="58">
        <f t="shared" si="6"/>
        <v>29225.700307692317</v>
      </c>
      <c r="F33" s="58">
        <f t="shared" si="6"/>
        <v>30979.242326153853</v>
      </c>
      <c r="G33" s="58">
        <f t="shared" si="6"/>
        <v>32837.996865723093</v>
      </c>
      <c r="H33" s="58">
        <f t="shared" si="6"/>
        <v>34808.276677666479</v>
      </c>
      <c r="I33" s="58">
        <f t="shared" si="6"/>
        <v>36896.773278326473</v>
      </c>
      <c r="J33" s="58">
        <f t="shared" si="6"/>
        <v>39110.579675026056</v>
      </c>
      <c r="K33" s="58">
        <f t="shared" si="6"/>
        <v>41457.214455527617</v>
      </c>
      <c r="L33" s="58">
        <f t="shared" si="6"/>
        <v>43944.64732285928</v>
      </c>
    </row>
    <row r="34" spans="1:18" s="76" customFormat="1" ht="19">
      <c r="A34" s="58" t="s">
        <v>65</v>
      </c>
      <c r="B34" s="58"/>
      <c r="C34" s="58">
        <f>C30-C33</f>
        <v>29109.230769230766</v>
      </c>
      <c r="D34" s="58">
        <f t="shared" ref="D34:L34" si="7">D30-D33</f>
        <v>30855.784615384622</v>
      </c>
      <c r="E34" s="58">
        <f t="shared" si="7"/>
        <v>32707.131692307699</v>
      </c>
      <c r="F34" s="58">
        <f t="shared" si="7"/>
        <v>34669.559593846163</v>
      </c>
      <c r="G34" s="58">
        <f t="shared" si="7"/>
        <v>36749.733169476938</v>
      </c>
      <c r="H34" s="58">
        <f t="shared" si="7"/>
        <v>38954.717159645545</v>
      </c>
      <c r="I34" s="58">
        <f t="shared" si="7"/>
        <v>41292.000189224294</v>
      </c>
      <c r="J34" s="58">
        <f t="shared" si="7"/>
        <v>43769.520200577746</v>
      </c>
      <c r="K34" s="58">
        <f t="shared" si="7"/>
        <v>46395.691412612417</v>
      </c>
      <c r="L34" s="58">
        <f t="shared" si="7"/>
        <v>49179.432897369159</v>
      </c>
      <c r="M34"/>
      <c r="N34"/>
      <c r="O34"/>
      <c r="P34"/>
      <c r="Q34"/>
      <c r="R34"/>
    </row>
    <row r="35" spans="1:18" ht="19">
      <c r="A35" s="52"/>
      <c r="B35" s="52"/>
      <c r="C35" s="58"/>
      <c r="D35" s="58"/>
      <c r="E35" s="58"/>
      <c r="F35" s="58"/>
      <c r="G35" s="58"/>
      <c r="H35" s="58"/>
      <c r="I35" s="58"/>
      <c r="J35" s="58"/>
      <c r="K35" s="58"/>
      <c r="L35" s="58"/>
    </row>
    <row r="36" spans="1:18" ht="19">
      <c r="A36" s="57" t="s">
        <v>237</v>
      </c>
      <c r="B36" s="57"/>
      <c r="C36" s="60">
        <f>C29*C34/1000</f>
        <v>5821.8461538461534</v>
      </c>
      <c r="D36" s="60">
        <f t="shared" ref="D36:L36" si="8">D29*D34/1000</f>
        <v>15427.892307692311</v>
      </c>
      <c r="E36" s="60">
        <f t="shared" si="8"/>
        <v>16353.56584615385</v>
      </c>
      <c r="F36" s="60">
        <f t="shared" si="8"/>
        <v>17334.779796923081</v>
      </c>
      <c r="G36" s="60">
        <f t="shared" si="8"/>
        <v>18374.866584738469</v>
      </c>
      <c r="H36" s="60">
        <f t="shared" si="8"/>
        <v>19477.358579822772</v>
      </c>
      <c r="I36" s="60">
        <f t="shared" si="8"/>
        <v>20646.000094612147</v>
      </c>
      <c r="J36" s="60">
        <f t="shared" si="8"/>
        <v>21884.760100288873</v>
      </c>
      <c r="K36" s="60">
        <f t="shared" si="8"/>
        <v>23197.845706306209</v>
      </c>
      <c r="L36" s="60">
        <f t="shared" si="8"/>
        <v>24589.71644868458</v>
      </c>
    </row>
    <row r="37" spans="1:18" ht="19">
      <c r="A37" s="52"/>
      <c r="B37" s="52"/>
      <c r="C37" s="58"/>
      <c r="D37" s="58"/>
      <c r="E37" s="58"/>
      <c r="F37" s="58"/>
      <c r="G37" s="58"/>
      <c r="H37" s="58"/>
      <c r="I37" s="58"/>
      <c r="J37" s="58"/>
      <c r="K37" s="58"/>
      <c r="L37" s="58"/>
    </row>
    <row r="38" spans="1:18" ht="19">
      <c r="A38" s="52" t="s">
        <v>66</v>
      </c>
      <c r="B38" s="52"/>
      <c r="C38" s="58">
        <f>-$I13*((1+$G14)^C27)</f>
        <v>-10600</v>
      </c>
      <c r="D38" s="58">
        <f t="shared" ref="D38:L38" si="9">-$I13*((1+$G14)^D27)</f>
        <v>-11236.000000000002</v>
      </c>
      <c r="E38" s="58">
        <f t="shared" si="9"/>
        <v>-11910.160000000003</v>
      </c>
      <c r="F38" s="58">
        <f t="shared" si="9"/>
        <v>-12624.769600000003</v>
      </c>
      <c r="G38" s="58">
        <f t="shared" si="9"/>
        <v>-13382.255776000005</v>
      </c>
      <c r="H38" s="58">
        <f t="shared" si="9"/>
        <v>-14185.191122560005</v>
      </c>
      <c r="I38" s="58">
        <f t="shared" si="9"/>
        <v>-15036.302589913608</v>
      </c>
      <c r="J38" s="58">
        <f t="shared" si="9"/>
        <v>-15938.480745308423</v>
      </c>
      <c r="K38" s="58">
        <f t="shared" si="9"/>
        <v>-16894.789590026929</v>
      </c>
      <c r="L38" s="58">
        <f t="shared" si="9"/>
        <v>-17908.476965428545</v>
      </c>
    </row>
    <row r="39" spans="1:18" ht="19">
      <c r="A39" s="52"/>
      <c r="B39" s="52"/>
      <c r="C39" s="58"/>
      <c r="D39" s="58"/>
      <c r="E39" s="58"/>
      <c r="F39" s="58"/>
      <c r="G39" s="58"/>
      <c r="H39" s="58"/>
      <c r="I39" s="58"/>
      <c r="J39" s="58"/>
      <c r="K39" s="58"/>
      <c r="L39" s="58"/>
    </row>
    <row r="40" spans="1:18" ht="19">
      <c r="A40" s="57" t="s">
        <v>67</v>
      </c>
      <c r="B40" s="57"/>
      <c r="C40" s="60">
        <f>C36+C38</f>
        <v>-4778.1538461538466</v>
      </c>
      <c r="D40" s="60">
        <f t="shared" ref="D40:L40" si="10">D36+D38</f>
        <v>4191.8923076923093</v>
      </c>
      <c r="E40" s="60">
        <f t="shared" si="10"/>
        <v>4443.4058461538461</v>
      </c>
      <c r="F40" s="60">
        <f t="shared" si="10"/>
        <v>4710.0101969230782</v>
      </c>
      <c r="G40" s="60">
        <f t="shared" si="10"/>
        <v>4992.6108087384637</v>
      </c>
      <c r="H40" s="60">
        <f t="shared" si="10"/>
        <v>5292.1674572627671</v>
      </c>
      <c r="I40" s="60">
        <f t="shared" si="10"/>
        <v>5609.697504698539</v>
      </c>
      <c r="J40" s="60">
        <f t="shared" si="10"/>
        <v>5946.2793549804501</v>
      </c>
      <c r="K40" s="60">
        <f t="shared" si="10"/>
        <v>6303.0561162792801</v>
      </c>
      <c r="L40" s="60">
        <f t="shared" si="10"/>
        <v>6681.2394832560349</v>
      </c>
    </row>
    <row r="41" spans="1:18" ht="19">
      <c r="A41" s="52"/>
      <c r="B41" s="52"/>
      <c r="C41" s="58"/>
      <c r="D41" s="58"/>
      <c r="E41" s="58"/>
      <c r="F41" s="58"/>
      <c r="G41" s="58"/>
      <c r="H41" s="58"/>
      <c r="I41" s="58"/>
      <c r="J41" s="58"/>
      <c r="K41" s="58"/>
      <c r="L41" s="58"/>
    </row>
    <row r="42" spans="1:18" ht="19">
      <c r="A42" s="52" t="s">
        <v>160</v>
      </c>
      <c r="B42" s="52"/>
      <c r="C42" s="58">
        <f>-$C6/10</f>
        <v>-1500</v>
      </c>
      <c r="D42" s="58">
        <f t="shared" ref="D42:L42" si="11">-$C6/10</f>
        <v>-1500</v>
      </c>
      <c r="E42" s="58">
        <f t="shared" si="11"/>
        <v>-1500</v>
      </c>
      <c r="F42" s="58">
        <f t="shared" si="11"/>
        <v>-1500</v>
      </c>
      <c r="G42" s="58">
        <f t="shared" si="11"/>
        <v>-1500</v>
      </c>
      <c r="H42" s="58">
        <f t="shared" si="11"/>
        <v>-1500</v>
      </c>
      <c r="I42" s="58">
        <f t="shared" si="11"/>
        <v>-1500</v>
      </c>
      <c r="J42" s="58">
        <f t="shared" si="11"/>
        <v>-1500</v>
      </c>
      <c r="K42" s="58">
        <f t="shared" si="11"/>
        <v>-1500</v>
      </c>
      <c r="L42" s="58">
        <f t="shared" si="11"/>
        <v>-1500</v>
      </c>
    </row>
    <row r="43" spans="1:18" ht="19">
      <c r="A43" s="58"/>
      <c r="B43" s="59"/>
      <c r="C43" s="58"/>
      <c r="D43" s="58"/>
      <c r="E43" s="58"/>
      <c r="F43" s="58"/>
      <c r="G43" s="58"/>
      <c r="H43" s="58"/>
      <c r="I43" s="58"/>
      <c r="J43" s="58"/>
      <c r="K43" s="58"/>
      <c r="L43" s="58"/>
    </row>
    <row r="44" spans="1:18" ht="19">
      <c r="A44" s="60" t="s">
        <v>68</v>
      </c>
      <c r="B44" s="61"/>
      <c r="C44" s="60">
        <f>C40+C42</f>
        <v>-6278.1538461538466</v>
      </c>
      <c r="D44" s="60">
        <f t="shared" ref="D44:L44" si="12">D40+D42</f>
        <v>2691.8923076923093</v>
      </c>
      <c r="E44" s="60">
        <f t="shared" si="12"/>
        <v>2943.4058461538461</v>
      </c>
      <c r="F44" s="60">
        <f t="shared" si="12"/>
        <v>3210.0101969230782</v>
      </c>
      <c r="G44" s="60">
        <f t="shared" si="12"/>
        <v>3492.6108087384637</v>
      </c>
      <c r="H44" s="60">
        <f t="shared" si="12"/>
        <v>3792.1674572627671</v>
      </c>
      <c r="I44" s="60">
        <f t="shared" si="12"/>
        <v>4109.697504698539</v>
      </c>
      <c r="J44" s="60">
        <f t="shared" si="12"/>
        <v>4446.2793549804501</v>
      </c>
      <c r="K44" s="60">
        <f t="shared" si="12"/>
        <v>4803.0561162792801</v>
      </c>
      <c r="L44" s="60">
        <f t="shared" si="12"/>
        <v>5181.2394832560349</v>
      </c>
    </row>
    <row r="45" spans="1:18" ht="19">
      <c r="A45" s="60"/>
      <c r="B45" s="61"/>
      <c r="C45" s="60"/>
      <c r="D45" s="60"/>
      <c r="E45" s="60"/>
      <c r="F45" s="60"/>
      <c r="G45" s="60"/>
      <c r="H45" s="60"/>
      <c r="I45" s="60"/>
      <c r="J45" s="60"/>
      <c r="K45" s="60"/>
      <c r="L45" s="60"/>
    </row>
    <row r="46" spans="1:18" ht="19">
      <c r="A46" s="58" t="s">
        <v>133</v>
      </c>
      <c r="B46" s="59"/>
      <c r="C46" s="58">
        <f>-B81*CMPC!$C30</f>
        <v>-240.59487179487169</v>
      </c>
      <c r="D46" s="58">
        <f>-C81*CMPC!$C30</f>
        <v>-373.38227692307674</v>
      </c>
      <c r="E46" s="58">
        <f>-D81*CMPC!$C30</f>
        <v>-358.82521353846158</v>
      </c>
      <c r="F46" s="58">
        <f>-E81*CMPC!$C30</f>
        <v>-344.83472635076919</v>
      </c>
      <c r="G46" s="58">
        <f>-F81*CMPC!$C30</f>
        <v>-331.44480993181548</v>
      </c>
      <c r="H46" s="58">
        <f>-G81*CMPC!$C30</f>
        <v>-318.69149852772432</v>
      </c>
      <c r="I46" s="58">
        <f>-H81*CMPC!$C30</f>
        <v>-306.61298843938783</v>
      </c>
      <c r="J46" s="58">
        <f>-I81*CMPC!$C30</f>
        <v>-295.24976774575094</v>
      </c>
      <c r="K46" s="58">
        <f>-J81*CMPC!$C30</f>
        <v>-284.64475381049607</v>
      </c>
      <c r="L46" s="58">
        <f>-K81*CMPC!$C30</f>
        <v>-274.843439039126</v>
      </c>
    </row>
    <row r="47" spans="1:18" ht="19">
      <c r="A47" s="58"/>
      <c r="B47" s="59"/>
      <c r="C47" s="58"/>
      <c r="D47" s="58"/>
      <c r="E47" s="58"/>
      <c r="F47" s="58"/>
      <c r="G47" s="58"/>
      <c r="H47" s="58"/>
      <c r="I47" s="58"/>
      <c r="J47" s="58"/>
      <c r="K47" s="58"/>
      <c r="L47" s="58"/>
    </row>
    <row r="48" spans="1:18" ht="19">
      <c r="A48" s="58" t="s">
        <v>134</v>
      </c>
      <c r="B48" s="59"/>
      <c r="C48" s="58">
        <f>C44+C46</f>
        <v>-6518.748717948718</v>
      </c>
      <c r="D48" s="58">
        <f t="shared" ref="D48:L48" si="13">D44+D46</f>
        <v>2318.5100307692323</v>
      </c>
      <c r="E48" s="58">
        <f t="shared" si="13"/>
        <v>2584.5806326153847</v>
      </c>
      <c r="F48" s="58">
        <f t="shared" si="13"/>
        <v>2865.1754705723088</v>
      </c>
      <c r="G48" s="58">
        <f t="shared" si="13"/>
        <v>3161.1659988066481</v>
      </c>
      <c r="H48" s="58">
        <f t="shared" si="13"/>
        <v>3473.4759587350427</v>
      </c>
      <c r="I48" s="58">
        <f t="shared" si="13"/>
        <v>3803.0845162591513</v>
      </c>
      <c r="J48" s="58">
        <f t="shared" si="13"/>
        <v>4151.0295872346987</v>
      </c>
      <c r="K48" s="58">
        <f t="shared" si="13"/>
        <v>4518.4113624687843</v>
      </c>
      <c r="L48" s="58">
        <f t="shared" si="13"/>
        <v>4906.3960442169091</v>
      </c>
    </row>
    <row r="49" spans="1:18" ht="19">
      <c r="A49" s="58"/>
      <c r="B49" s="59"/>
      <c r="C49" s="58"/>
      <c r="D49" s="58"/>
      <c r="E49" s="58"/>
      <c r="F49" s="58"/>
      <c r="G49" s="58"/>
      <c r="H49" s="58"/>
      <c r="I49" s="58"/>
      <c r="J49" s="58"/>
      <c r="K49" s="58"/>
      <c r="L49" s="58"/>
    </row>
    <row r="50" spans="1:18" ht="19">
      <c r="A50" s="202" t="s">
        <v>135</v>
      </c>
      <c r="B50" s="212"/>
      <c r="C50" s="202">
        <v>0</v>
      </c>
      <c r="D50" s="202">
        <f>-IF(SUM($C48:D48)&lt;0,0,MIN(SUM($C48:D48)*CMPC!$C20,CMPC!$C20*'BP¨500 capacité réduite'!D48))</f>
        <v>0</v>
      </c>
      <c r="E50" s="202">
        <f>-IF(SUM($C48:E48)&lt;0,0,MIN(SUM($C48:E48)*CMPC!$C20,CMPC!$C20*'BP¨500 capacité réduite'!E48))</f>
        <v>0</v>
      </c>
      <c r="F50" s="202">
        <f>-IF(SUM($C48:F48)&lt;0,0,MIN(SUM($C48:F48)*CMPC!$C20,CMPC!$C20*'BP¨500 capacité réduite'!F48))</f>
        <v>-374.8552248024622</v>
      </c>
      <c r="G50" s="202">
        <f>-IF(SUM($C48:G48)&lt;0,0,MIN(SUM($C48:G48)*CMPC!$C20,CMPC!$C20*'BP¨500 capacité réduite'!G48))</f>
        <v>-948.34979964199442</v>
      </c>
      <c r="H50" s="202">
        <f>-IF(SUM($C48:H48)&lt;0,0,MIN(SUM($C48:H48)*CMPC!$C20,CMPC!$C20*'BP¨500 capacité réduite'!H48))</f>
        <v>-1042.0427876205129</v>
      </c>
      <c r="I50" s="202">
        <f>-IF(SUM($C48:I48)&lt;0,0,MIN(SUM($C48:I48)*CMPC!$C20,CMPC!$C20*'BP¨500 capacité réduite'!I48))</f>
        <v>-1140.9253548777453</v>
      </c>
      <c r="J50" s="202">
        <f>-IF(SUM($C48:J48)&lt;0,0,MIN(SUM($C48:J48)*CMPC!$C20,CMPC!$C20*'BP¨500 capacité réduite'!J48))</f>
        <v>-1245.3088761704096</v>
      </c>
      <c r="K50" s="202">
        <f>-IF(SUM($C48:K48)&lt;0,0,MIN(SUM($C48:K48)*CMPC!$C20,CMPC!$C20*'BP¨500 capacité réduite'!K48))</f>
        <v>-1355.5234087406352</v>
      </c>
      <c r="L50" s="202">
        <f>-IF(SUM($C48:L48)&lt;0,0,MIN(SUM($C48:L48)*CMPC!$C20,CMPC!$C20*'BP¨500 capacité réduite'!L48))</f>
        <v>-1471.9188132650727</v>
      </c>
    </row>
    <row r="51" spans="1:18" ht="19">
      <c r="A51" s="202"/>
      <c r="B51" s="212"/>
      <c r="C51" s="202"/>
      <c r="D51" s="202"/>
      <c r="E51" s="202"/>
      <c r="F51" s="202"/>
      <c r="G51" s="202"/>
      <c r="H51" s="202"/>
      <c r="I51" s="202"/>
      <c r="J51" s="202"/>
      <c r="K51" s="202"/>
      <c r="L51" s="202"/>
    </row>
    <row r="52" spans="1:18" s="11" customFormat="1" ht="19">
      <c r="A52" s="213" t="s">
        <v>248</v>
      </c>
      <c r="B52" s="61"/>
      <c r="C52" s="60">
        <f>C48+C50</f>
        <v>-6518.748717948718</v>
      </c>
      <c r="D52" s="60">
        <f t="shared" ref="D52:L52" si="14">D48+D50</f>
        <v>2318.5100307692323</v>
      </c>
      <c r="E52" s="60">
        <f>E48+E50</f>
        <v>2584.5806326153847</v>
      </c>
      <c r="F52" s="60">
        <f>F48+F50</f>
        <v>2490.3202457698467</v>
      </c>
      <c r="G52" s="60">
        <f t="shared" si="14"/>
        <v>2212.8161991646539</v>
      </c>
      <c r="H52" s="60">
        <f t="shared" si="14"/>
        <v>2431.4331711145296</v>
      </c>
      <c r="I52" s="60">
        <f t="shared" si="14"/>
        <v>2662.1591613814062</v>
      </c>
      <c r="J52" s="60">
        <f t="shared" si="14"/>
        <v>2905.7207110642894</v>
      </c>
      <c r="K52" s="60">
        <f t="shared" si="14"/>
        <v>3162.8879537281491</v>
      </c>
      <c r="L52" s="60">
        <f t="shared" si="14"/>
        <v>3434.4772309518366</v>
      </c>
      <c r="M52"/>
      <c r="N52"/>
      <c r="O52"/>
      <c r="P52"/>
      <c r="Q52"/>
      <c r="R52"/>
    </row>
    <row r="53" spans="1:18" ht="19">
      <c r="A53" s="58"/>
      <c r="B53" s="59"/>
      <c r="C53" s="58"/>
      <c r="D53" s="58"/>
      <c r="E53" s="58"/>
      <c r="F53" s="58"/>
      <c r="G53" s="58"/>
      <c r="H53" s="58"/>
      <c r="I53" s="58"/>
      <c r="J53" s="58"/>
      <c r="K53" s="58"/>
      <c r="L53" s="58"/>
    </row>
    <row r="54" spans="1:18" s="79" customFormat="1" ht="19">
      <c r="A54" s="60" t="s">
        <v>239</v>
      </c>
      <c r="B54" s="60">
        <f>B76</f>
        <v>12530.982905982906</v>
      </c>
      <c r="C54" s="60">
        <f>C76-B76</f>
        <v>13434.759401709405</v>
      </c>
      <c r="D54" s="60">
        <f t="shared" ref="D54:K54" si="15">D76-C76</f>
        <v>-3076.6904153846153</v>
      </c>
      <c r="E54" s="60">
        <f t="shared" si="15"/>
        <v>-3313.2518403076938</v>
      </c>
      <c r="F54" s="60">
        <f t="shared" si="15"/>
        <v>-3187.7117259236911</v>
      </c>
      <c r="G54" s="60">
        <f t="shared" si="15"/>
        <v>-2877.051168127733</v>
      </c>
      <c r="H54" s="60">
        <f t="shared" si="15"/>
        <v>-3060.5222382153879</v>
      </c>
      <c r="I54" s="60">
        <f t="shared" si="15"/>
        <v>-3253.9935725083224</v>
      </c>
      <c r="J54" s="60">
        <f t="shared" si="15"/>
        <v>-3458.0651868588147</v>
      </c>
      <c r="K54" s="60">
        <f t="shared" si="15"/>
        <v>-3673.373098070344</v>
      </c>
      <c r="L54" s="60">
        <f>-(L115+L46*(1-TIS)-K81)</f>
        <v>-19249.239680906314</v>
      </c>
      <c r="M54"/>
      <c r="N54"/>
      <c r="O54"/>
      <c r="P54"/>
      <c r="Q54"/>
      <c r="R54"/>
    </row>
    <row r="55" spans="1:18" s="79" customFormat="1" ht="19">
      <c r="A55" s="60"/>
      <c r="B55" s="60"/>
      <c r="C55" s="60"/>
      <c r="D55" s="60"/>
      <c r="E55" s="60"/>
      <c r="F55" s="60"/>
      <c r="G55" s="60"/>
      <c r="H55" s="60"/>
      <c r="I55" s="60"/>
      <c r="J55" s="60"/>
      <c r="K55" s="60"/>
      <c r="L55" s="60"/>
      <c r="M55"/>
      <c r="N55"/>
      <c r="O55"/>
      <c r="P55"/>
      <c r="Q55"/>
      <c r="R55"/>
    </row>
    <row r="56" spans="1:18" s="79" customFormat="1" ht="19">
      <c r="A56" s="238" t="s">
        <v>260</v>
      </c>
      <c r="B56" s="56">
        <f>Situation!D45</f>
        <v>8</v>
      </c>
      <c r="C56" s="56">
        <f t="shared" ref="C56:L56" si="16">B56*(1+INFI)/(1+INFM)</f>
        <v>8.3546798029556655</v>
      </c>
      <c r="D56" s="56">
        <f t="shared" si="16"/>
        <v>8.7250843262394149</v>
      </c>
      <c r="E56" s="56">
        <f t="shared" si="16"/>
        <v>9.1119107249396851</v>
      </c>
      <c r="F56" s="56">
        <f t="shared" si="16"/>
        <v>9.5158870624985887</v>
      </c>
      <c r="G56" s="56">
        <f t="shared" si="16"/>
        <v>9.9377736810330095</v>
      </c>
      <c r="H56" s="56">
        <f t="shared" si="16"/>
        <v>10.378364632408859</v>
      </c>
      <c r="I56" s="56">
        <f t="shared" si="16"/>
        <v>10.838489172761962</v>
      </c>
      <c r="J56" s="56">
        <f t="shared" si="16"/>
        <v>11.319013323278504</v>
      </c>
      <c r="K56" s="56">
        <f t="shared" si="16"/>
        <v>11.820841500172627</v>
      </c>
      <c r="L56" s="56">
        <f t="shared" si="16"/>
        <v>12.344918216929051</v>
      </c>
      <c r="M56" s="11"/>
      <c r="N56" s="11"/>
      <c r="O56" s="11"/>
      <c r="P56" s="11"/>
      <c r="Q56" s="11"/>
      <c r="R56" s="11"/>
    </row>
    <row r="57" spans="1:18" s="79" customFormat="1" ht="19">
      <c r="A57" s="238"/>
      <c r="B57" s="60"/>
      <c r="C57" s="60"/>
      <c r="D57" s="60"/>
      <c r="E57" s="60"/>
      <c r="F57" s="60"/>
      <c r="G57" s="60"/>
      <c r="H57" s="60"/>
      <c r="I57" s="60"/>
      <c r="J57" s="60"/>
      <c r="K57" s="60"/>
      <c r="L57" s="60"/>
      <c r="M57"/>
      <c r="N57"/>
      <c r="O57"/>
      <c r="P57"/>
      <c r="Q57"/>
      <c r="R57"/>
    </row>
    <row r="58" spans="1:18" s="79" customFormat="1" ht="19">
      <c r="A58" s="238" t="s">
        <v>261</v>
      </c>
      <c r="B58" s="60">
        <f>B54/B56</f>
        <v>1566.3728632478633</v>
      </c>
      <c r="C58" s="60">
        <f t="shared" ref="C58:L58" si="17">C54/C56</f>
        <v>1608.0519802753593</v>
      </c>
      <c r="D58" s="60">
        <f t="shared" si="17"/>
        <v>-352.62586587638117</v>
      </c>
      <c r="E58" s="60">
        <f t="shared" si="17"/>
        <v>-363.61768023463873</v>
      </c>
      <c r="F58" s="60">
        <f t="shared" si="17"/>
        <v>-334.98839414417063</v>
      </c>
      <c r="G58" s="60">
        <f t="shared" si="17"/>
        <v>-289.50660987770351</v>
      </c>
      <c r="H58" s="60">
        <f t="shared" si="17"/>
        <v>-294.89446041028418</v>
      </c>
      <c r="I58" s="60">
        <f t="shared" si="17"/>
        <v>-300.22575292928121</v>
      </c>
      <c r="J58" s="60">
        <f t="shared" si="17"/>
        <v>-305.50941924832023</v>
      </c>
      <c r="K58" s="60">
        <f t="shared" si="17"/>
        <v>-310.75394234976415</v>
      </c>
      <c r="L58" s="60">
        <f t="shared" si="17"/>
        <v>-1559.2845041702349</v>
      </c>
      <c r="M58"/>
      <c r="N58"/>
      <c r="O58"/>
      <c r="P58"/>
      <c r="Q58"/>
      <c r="R58"/>
    </row>
    <row r="59" spans="1:18" ht="19">
      <c r="A59" s="62"/>
      <c r="B59" s="63"/>
      <c r="C59" s="62"/>
      <c r="D59" s="62"/>
      <c r="E59" s="62"/>
      <c r="F59" s="62"/>
      <c r="G59" s="62"/>
      <c r="H59" s="62"/>
      <c r="I59" s="62"/>
      <c r="J59" s="62"/>
      <c r="K59" s="62"/>
      <c r="L59" s="62"/>
    </row>
    <row r="60" spans="1:18" ht="19">
      <c r="A60" s="64"/>
      <c r="B60" s="65"/>
      <c r="C60" s="64"/>
      <c r="D60" s="64"/>
      <c r="E60" s="64"/>
      <c r="F60" s="64"/>
      <c r="G60" s="64"/>
      <c r="H60" s="64"/>
      <c r="I60" s="64"/>
      <c r="J60" s="64"/>
      <c r="K60" s="64"/>
      <c r="L60" s="64"/>
    </row>
    <row r="61" spans="1:18" ht="19">
      <c r="A61" s="58" t="s">
        <v>69</v>
      </c>
      <c r="B61" s="58">
        <f>C6</f>
        <v>15000</v>
      </c>
      <c r="C61" s="58">
        <f>B61</f>
        <v>15000</v>
      </c>
      <c r="D61" s="58">
        <f t="shared" ref="D61:K61" si="18">C61</f>
        <v>15000</v>
      </c>
      <c r="E61" s="58">
        <f t="shared" si="18"/>
        <v>15000</v>
      </c>
      <c r="F61" s="58">
        <f t="shared" si="18"/>
        <v>15000</v>
      </c>
      <c r="G61" s="58">
        <f t="shared" si="18"/>
        <v>15000</v>
      </c>
      <c r="H61" s="58">
        <f t="shared" si="18"/>
        <v>15000</v>
      </c>
      <c r="I61" s="58">
        <f t="shared" si="18"/>
        <v>15000</v>
      </c>
      <c r="J61" s="58">
        <f t="shared" si="18"/>
        <v>15000</v>
      </c>
      <c r="K61" s="58">
        <f t="shared" si="18"/>
        <v>15000</v>
      </c>
      <c r="L61" s="58">
        <v>0</v>
      </c>
    </row>
    <row r="62" spans="1:18" ht="19">
      <c r="A62" s="58" t="s">
        <v>70</v>
      </c>
      <c r="B62" s="58"/>
      <c r="C62" s="58">
        <f>C42</f>
        <v>-1500</v>
      </c>
      <c r="D62" s="58">
        <f t="shared" ref="D62:K62" si="19">C62+D42</f>
        <v>-3000</v>
      </c>
      <c r="E62" s="58">
        <f t="shared" si="19"/>
        <v>-4500</v>
      </c>
      <c r="F62" s="58">
        <f t="shared" si="19"/>
        <v>-6000</v>
      </c>
      <c r="G62" s="58">
        <f t="shared" si="19"/>
        <v>-7500</v>
      </c>
      <c r="H62" s="58">
        <f t="shared" si="19"/>
        <v>-9000</v>
      </c>
      <c r="I62" s="58">
        <f t="shared" si="19"/>
        <v>-10500</v>
      </c>
      <c r="J62" s="58">
        <f t="shared" si="19"/>
        <v>-12000</v>
      </c>
      <c r="K62" s="58">
        <f t="shared" si="19"/>
        <v>-13500</v>
      </c>
      <c r="L62" s="58">
        <v>0</v>
      </c>
    </row>
    <row r="63" spans="1:18" ht="19">
      <c r="A63" s="58"/>
      <c r="B63" s="58"/>
      <c r="C63" s="58"/>
      <c r="D63" s="58"/>
      <c r="E63" s="58"/>
      <c r="F63" s="58"/>
      <c r="G63" s="58"/>
      <c r="H63" s="58"/>
      <c r="I63" s="58"/>
      <c r="J63" s="58"/>
      <c r="K63" s="58"/>
      <c r="L63" s="58"/>
    </row>
    <row r="64" spans="1:18" ht="19">
      <c r="A64" s="60" t="s">
        <v>240</v>
      </c>
      <c r="B64" s="60">
        <f>B61+B62</f>
        <v>15000</v>
      </c>
      <c r="C64" s="60">
        <f>C61+C62</f>
        <v>13500</v>
      </c>
      <c r="D64" s="60">
        <f t="shared" ref="D64:L64" si="20">D61+D62</f>
        <v>12000</v>
      </c>
      <c r="E64" s="60">
        <f t="shared" si="20"/>
        <v>10500</v>
      </c>
      <c r="F64" s="60">
        <f t="shared" si="20"/>
        <v>9000</v>
      </c>
      <c r="G64" s="60">
        <f t="shared" si="20"/>
        <v>7500</v>
      </c>
      <c r="H64" s="60">
        <f t="shared" si="20"/>
        <v>6000</v>
      </c>
      <c r="I64" s="60">
        <f t="shared" si="20"/>
        <v>4500</v>
      </c>
      <c r="J64" s="60">
        <f t="shared" si="20"/>
        <v>3000</v>
      </c>
      <c r="K64" s="60">
        <f t="shared" si="20"/>
        <v>1500</v>
      </c>
      <c r="L64" s="60">
        <f t="shared" si="20"/>
        <v>0</v>
      </c>
    </row>
    <row r="65" spans="1:12" ht="19">
      <c r="A65" s="58"/>
      <c r="B65" s="58"/>
      <c r="C65" s="58"/>
      <c r="D65" s="58"/>
      <c r="E65" s="58"/>
      <c r="F65" s="58"/>
      <c r="G65" s="58"/>
      <c r="H65" s="58"/>
      <c r="I65" s="58"/>
      <c r="J65" s="58"/>
      <c r="K65" s="58"/>
      <c r="L65" s="58"/>
    </row>
    <row r="66" spans="1:12" ht="19">
      <c r="A66" s="54" t="s">
        <v>54</v>
      </c>
      <c r="B66" s="58">
        <f>$D18*'Calcul des coûts'!$C$13*C29*((1+$G14)^B27)/12000</f>
        <v>743.58974358974365</v>
      </c>
      <c r="C66" s="58">
        <f>$D18*'Calcul des coûts'!$C$13*D29*((1+$G14)^C27)/12000</f>
        <v>1970.5128205128206</v>
      </c>
      <c r="D66" s="58">
        <f>$D18*'Calcul des coûts'!$C$13*E29*((1+$G14)^D27)/12000</f>
        <v>2088.7435897435898</v>
      </c>
      <c r="E66" s="58">
        <f>$D18*'Calcul des coûts'!$C$13*F29*((1+$G14)^E27)/12000</f>
        <v>2214.0682051282056</v>
      </c>
      <c r="F66" s="58">
        <f>$D18*'Calcul des coûts'!$C$13*G29*((1+$G14)^F27)/12000</f>
        <v>2346.9122974358979</v>
      </c>
      <c r="G66" s="58">
        <f>$D18*'Calcul des coûts'!$C$13*H29*((1+$G14)^G27)/12000</f>
        <v>2487.7270352820519</v>
      </c>
      <c r="H66" s="58">
        <f>$D18*'Calcul des coûts'!$C$13*I29*((1+$G14)^H27)/12000</f>
        <v>2636.9906573989756</v>
      </c>
      <c r="I66" s="58">
        <f>$D18*'Calcul des coûts'!$C$13*J29*((1+$G14)^I27)/12000</f>
        <v>2795.2100968429145</v>
      </c>
      <c r="J66" s="58">
        <f>$D18*'Calcul des coûts'!$C$13*K29*((1+$G14)^J27)/12000</f>
        <v>2962.9227026534886</v>
      </c>
      <c r="K66" s="58">
        <f>$D18*'Calcul des coûts'!$C$13*L29*((1+$G14)^K27)/12000</f>
        <v>3140.6980648126982</v>
      </c>
      <c r="L66" s="58">
        <v>0</v>
      </c>
    </row>
    <row r="67" spans="1:12" ht="19">
      <c r="A67" s="54" t="s">
        <v>52</v>
      </c>
      <c r="B67" s="58">
        <f t="shared" ref="B67:K67" si="21">$D17*CRVU*C29*((1+$G14)^B27)/12000</f>
        <v>408.97435897435901</v>
      </c>
      <c r="C67" s="58">
        <f t="shared" si="21"/>
        <v>1083.7820512820513</v>
      </c>
      <c r="D67" s="58">
        <f t="shared" si="21"/>
        <v>1148.8089743589746</v>
      </c>
      <c r="E67" s="58">
        <f t="shared" si="21"/>
        <v>1217.7375128205131</v>
      </c>
      <c r="F67" s="58">
        <f t="shared" si="21"/>
        <v>1290.801763589744</v>
      </c>
      <c r="G67" s="58">
        <f t="shared" si="21"/>
        <v>1368.2498694051289</v>
      </c>
      <c r="H67" s="58">
        <f t="shared" si="21"/>
        <v>1450.3448615694365</v>
      </c>
      <c r="I67" s="58">
        <f t="shared" si="21"/>
        <v>1537.365553263603</v>
      </c>
      <c r="J67" s="58">
        <f t="shared" si="21"/>
        <v>1629.6074864594191</v>
      </c>
      <c r="K67" s="58">
        <f t="shared" si="21"/>
        <v>1727.3839356469841</v>
      </c>
      <c r="L67" s="58">
        <v>0</v>
      </c>
    </row>
    <row r="68" spans="1:12" ht="19">
      <c r="A68" s="54" t="s">
        <v>71</v>
      </c>
      <c r="B68" s="58"/>
      <c r="C68" s="58">
        <f t="shared" ref="C68:K68" si="22">$D19*D31/360</f>
        <v>9737.8666666666686</v>
      </c>
      <c r="D68" s="58">
        <f t="shared" si="22"/>
        <v>10322.138666666669</v>
      </c>
      <c r="E68" s="58">
        <f t="shared" si="22"/>
        <v>10941.466986666668</v>
      </c>
      <c r="F68" s="58">
        <f t="shared" si="22"/>
        <v>11597.955005866672</v>
      </c>
      <c r="G68" s="58">
        <f t="shared" si="22"/>
        <v>12293.83230621867</v>
      </c>
      <c r="H68" s="58">
        <f t="shared" si="22"/>
        <v>13031.462244591794</v>
      </c>
      <c r="I68" s="58">
        <f t="shared" si="22"/>
        <v>13813.349979267297</v>
      </c>
      <c r="J68" s="58">
        <f t="shared" si="22"/>
        <v>14642.150978023339</v>
      </c>
      <c r="K68" s="58">
        <f t="shared" si="22"/>
        <v>15520.680036704738</v>
      </c>
      <c r="L68" s="58">
        <v>0</v>
      </c>
    </row>
    <row r="69" spans="1:12" ht="19">
      <c r="A69" s="54" t="s">
        <v>72</v>
      </c>
      <c r="B69" s="58">
        <f>$D20*C29*'Calcul des coûts'!$C$13*((1+$G14)^B27)/360000</f>
        <v>1115.3846153846155</v>
      </c>
      <c r="C69" s="58">
        <f>$D20*D29*'Calcul des coûts'!$C$13*((1+$G14)^C27)/360000</f>
        <v>2955.7692307692309</v>
      </c>
      <c r="D69" s="58">
        <f>$D20*E29*'Calcul des coûts'!$C$13*((1+$G14)^D27)/360000</f>
        <v>3133.1153846153848</v>
      </c>
      <c r="E69" s="58">
        <f>$D20*F29*'Calcul des coûts'!$C$13*((1+$G14)^E27)/360000</f>
        <v>3321.1023076923084</v>
      </c>
      <c r="F69" s="58">
        <f>$D20*G29*'Calcul des coûts'!$C$13*((1+$G14)^F27)/360000</f>
        <v>3520.3684461538473</v>
      </c>
      <c r="G69" s="58">
        <f>$D20*H29*'Calcul des coûts'!$C$13*((1+$G14)^G27)/360000</f>
        <v>3731.5905529230781</v>
      </c>
      <c r="H69" s="58">
        <f>$D20*I29*'Calcul des coûts'!$C$13*((1+$G14)^H27)/360000</f>
        <v>3955.4859860984629</v>
      </c>
      <c r="I69" s="58">
        <f>$D20*J29*'Calcul des coûts'!$C$13*((1+$G14)^I27)/360000</f>
        <v>4192.8151452643715</v>
      </c>
      <c r="J69" s="58">
        <f>$D20*K29*'Calcul des coûts'!$C$13*((1+$G14)^J27)/360000</f>
        <v>4444.3840539802331</v>
      </c>
      <c r="K69" s="58">
        <f>$D20*L29*'Calcul des coûts'!$C$13*((1+$G14)^K27)/360000</f>
        <v>4711.0470972190469</v>
      </c>
      <c r="L69" s="58">
        <v>0</v>
      </c>
    </row>
    <row r="70" spans="1:12" ht="19">
      <c r="A70" s="54"/>
      <c r="B70" s="58"/>
      <c r="C70" s="58"/>
      <c r="D70" s="58"/>
      <c r="E70" s="58"/>
      <c r="F70" s="58"/>
      <c r="G70" s="58"/>
      <c r="H70" s="58"/>
      <c r="I70" s="58"/>
      <c r="J70" s="58"/>
      <c r="K70" s="58"/>
      <c r="L70" s="58"/>
    </row>
    <row r="71" spans="1:12" ht="19">
      <c r="A71" s="56" t="s">
        <v>241</v>
      </c>
      <c r="B71" s="60">
        <f>B66+B67+B68-B69</f>
        <v>37.179487179487069</v>
      </c>
      <c r="C71" s="60">
        <f t="shared" ref="C71:L71" si="23">C66+C67+C68-C69</f>
        <v>9836.3923076923093</v>
      </c>
      <c r="D71" s="60">
        <f t="shared" si="23"/>
        <v>10426.575846153848</v>
      </c>
      <c r="E71" s="60">
        <f t="shared" si="23"/>
        <v>11052.170396923078</v>
      </c>
      <c r="F71" s="60">
        <f t="shared" si="23"/>
        <v>11715.300620738468</v>
      </c>
      <c r="G71" s="60">
        <f t="shared" si="23"/>
        <v>12418.218657982772</v>
      </c>
      <c r="H71" s="60">
        <f t="shared" si="23"/>
        <v>13163.311777461744</v>
      </c>
      <c r="I71" s="60">
        <f t="shared" si="23"/>
        <v>13953.110484109442</v>
      </c>
      <c r="J71" s="60">
        <f t="shared" si="23"/>
        <v>14790.297113156012</v>
      </c>
      <c r="K71" s="60">
        <f t="shared" si="23"/>
        <v>15677.714939945376</v>
      </c>
      <c r="L71" s="60">
        <f t="shared" si="23"/>
        <v>0</v>
      </c>
    </row>
    <row r="72" spans="1:12" ht="19">
      <c r="A72" s="56"/>
      <c r="B72" s="60"/>
      <c r="C72" s="60"/>
      <c r="D72" s="60"/>
      <c r="E72" s="60"/>
      <c r="F72" s="60"/>
      <c r="G72" s="60"/>
      <c r="H72" s="60"/>
      <c r="I72" s="60"/>
      <c r="J72" s="60"/>
      <c r="K72" s="60"/>
      <c r="L72" s="60"/>
    </row>
    <row r="73" spans="1:12" ht="19">
      <c r="A73" s="56" t="s">
        <v>249</v>
      </c>
      <c r="B73" s="60">
        <f>B64+B71</f>
        <v>15037.179487179486</v>
      </c>
      <c r="C73" s="60">
        <f t="shared" ref="C73:L73" si="24">C64+C71</f>
        <v>23336.392307692309</v>
      </c>
      <c r="D73" s="60">
        <f t="shared" si="24"/>
        <v>22426.57584615385</v>
      </c>
      <c r="E73" s="60">
        <f t="shared" si="24"/>
        <v>21552.17039692308</v>
      </c>
      <c r="F73" s="60">
        <f t="shared" si="24"/>
        <v>20715.300620738468</v>
      </c>
      <c r="G73" s="60">
        <f t="shared" si="24"/>
        <v>19918.218657982772</v>
      </c>
      <c r="H73" s="60">
        <f t="shared" si="24"/>
        <v>19163.311777461742</v>
      </c>
      <c r="I73" s="60">
        <f t="shared" si="24"/>
        <v>18453.110484109442</v>
      </c>
      <c r="J73" s="60">
        <f t="shared" si="24"/>
        <v>17790.297113156012</v>
      </c>
      <c r="K73" s="60">
        <f t="shared" si="24"/>
        <v>17177.714939945377</v>
      </c>
      <c r="L73" s="60">
        <f t="shared" si="24"/>
        <v>0</v>
      </c>
    </row>
    <row r="74" spans="1:12" ht="19">
      <c r="A74" s="62"/>
      <c r="B74" s="63"/>
      <c r="C74" s="62"/>
      <c r="D74" s="62"/>
      <c r="E74" s="62"/>
      <c r="F74" s="62"/>
      <c r="G74" s="62"/>
      <c r="H74" s="62"/>
      <c r="I74" s="62"/>
      <c r="J74" s="62"/>
      <c r="K74" s="62"/>
      <c r="L74" s="62"/>
    </row>
    <row r="75" spans="1:12" ht="19">
      <c r="A75" s="58"/>
      <c r="B75" s="59"/>
      <c r="C75" s="58"/>
      <c r="D75" s="58"/>
      <c r="E75" s="58"/>
      <c r="F75" s="58"/>
      <c r="G75" s="58"/>
      <c r="H75" s="58"/>
      <c r="I75" s="58"/>
      <c r="J75" s="58"/>
      <c r="K75" s="58"/>
      <c r="L75" s="58"/>
    </row>
    <row r="76" spans="1:12" ht="19">
      <c r="A76" s="58" t="s">
        <v>131</v>
      </c>
      <c r="B76" s="58">
        <f>CMPC!C16*'BP¨500 capacité réduite'!B73</f>
        <v>12530.982905982906</v>
      </c>
      <c r="C76" s="58">
        <f>C79-C77</f>
        <v>25965.742307692311</v>
      </c>
      <c r="D76" s="58">
        <f t="shared" ref="D76:K76" si="25">D79-D77</f>
        <v>22889.051892307696</v>
      </c>
      <c r="E76" s="58">
        <f t="shared" si="25"/>
        <v>19575.800052000002</v>
      </c>
      <c r="F76" s="58">
        <f t="shared" si="25"/>
        <v>16388.088326076311</v>
      </c>
      <c r="G76" s="58">
        <f t="shared" si="25"/>
        <v>13511.037157948578</v>
      </c>
      <c r="H76" s="58">
        <f t="shared" si="25"/>
        <v>10450.51491973319</v>
      </c>
      <c r="I76" s="58">
        <f t="shared" si="25"/>
        <v>7196.5213472248679</v>
      </c>
      <c r="J76" s="58">
        <f t="shared" si="25"/>
        <v>3738.4561603660532</v>
      </c>
      <c r="K76" s="58">
        <f t="shared" si="25"/>
        <v>65.083062295709169</v>
      </c>
      <c r="L76" s="58"/>
    </row>
    <row r="77" spans="1:12" ht="19">
      <c r="A77" s="58" t="s">
        <v>132</v>
      </c>
      <c r="B77" s="58">
        <v>0</v>
      </c>
      <c r="C77" s="58">
        <f t="shared" ref="C77:K77" si="26">B77+C52</f>
        <v>-6518.748717948718</v>
      </c>
      <c r="D77" s="58">
        <f t="shared" si="26"/>
        <v>-4200.2386871794861</v>
      </c>
      <c r="E77" s="58">
        <f t="shared" si="26"/>
        <v>-1615.6580545641013</v>
      </c>
      <c r="F77" s="58">
        <f t="shared" si="26"/>
        <v>874.66219120574533</v>
      </c>
      <c r="G77" s="58">
        <f t="shared" si="26"/>
        <v>3087.4783903703992</v>
      </c>
      <c r="H77" s="58">
        <f t="shared" si="26"/>
        <v>5518.9115614849288</v>
      </c>
      <c r="I77" s="58">
        <f t="shared" si="26"/>
        <v>8181.070722866335</v>
      </c>
      <c r="J77" s="58">
        <f t="shared" si="26"/>
        <v>11086.791433930624</v>
      </c>
      <c r="K77" s="58">
        <f t="shared" si="26"/>
        <v>14249.679387658773</v>
      </c>
      <c r="L77" s="58"/>
    </row>
    <row r="78" spans="1:12" ht="19">
      <c r="A78" s="58"/>
      <c r="B78" s="58"/>
      <c r="C78" s="58"/>
      <c r="D78" s="58"/>
      <c r="E78" s="58"/>
      <c r="F78" s="58"/>
      <c r="G78" s="58"/>
      <c r="H78" s="58"/>
      <c r="I78" s="58"/>
      <c r="J78" s="58"/>
      <c r="K78" s="58"/>
      <c r="L78" s="58"/>
    </row>
    <row r="79" spans="1:12" ht="19">
      <c r="A79" s="60" t="s">
        <v>243</v>
      </c>
      <c r="B79" s="60">
        <f>B76+B77</f>
        <v>12530.982905982906</v>
      </c>
      <c r="C79" s="60">
        <f>C73*CMPC!$C16</f>
        <v>19446.993589743593</v>
      </c>
      <c r="D79" s="60">
        <f>D73*CMPC!$C16</f>
        <v>18688.813205128208</v>
      </c>
      <c r="E79" s="60">
        <f>E73*CMPC!$C16</f>
        <v>17960.141997435901</v>
      </c>
      <c r="F79" s="60">
        <f>F73*CMPC!$C16</f>
        <v>17262.750517282057</v>
      </c>
      <c r="G79" s="60">
        <f>G73*CMPC!$C16</f>
        <v>16598.515548318977</v>
      </c>
      <c r="H79" s="60">
        <f>H73*CMPC!$C16</f>
        <v>15969.426481218119</v>
      </c>
      <c r="I79" s="60">
        <f>I73*CMPC!$C16</f>
        <v>15377.592070091203</v>
      </c>
      <c r="J79" s="60">
        <f>J73*CMPC!$C16</f>
        <v>14825.247594296678</v>
      </c>
      <c r="K79" s="60">
        <f>K73*CMPC!$C16</f>
        <v>14314.762449954482</v>
      </c>
      <c r="L79" s="60">
        <f>L73*CMPC!$C16</f>
        <v>0</v>
      </c>
    </row>
    <row r="80" spans="1:12" ht="19">
      <c r="A80" s="60"/>
      <c r="B80" s="60"/>
      <c r="C80" s="60"/>
      <c r="D80" s="60"/>
      <c r="E80" s="60"/>
      <c r="F80" s="60"/>
      <c r="G80" s="60"/>
      <c r="H80" s="60"/>
      <c r="I80" s="60"/>
      <c r="J80" s="60"/>
      <c r="K80" s="60"/>
      <c r="L80" s="60"/>
    </row>
    <row r="81" spans="1:12" ht="19">
      <c r="A81" s="60" t="s">
        <v>244</v>
      </c>
      <c r="B81" s="60">
        <f>B83-B79</f>
        <v>2506.1965811965802</v>
      </c>
      <c r="C81" s="60">
        <f t="shared" ref="C81:L81" si="27">C83-C79</f>
        <v>3889.3987179487158</v>
      </c>
      <c r="D81" s="60">
        <f t="shared" si="27"/>
        <v>3737.7626410256416</v>
      </c>
      <c r="E81" s="60">
        <f t="shared" si="27"/>
        <v>3592.0283994871788</v>
      </c>
      <c r="F81" s="60">
        <f t="shared" si="27"/>
        <v>3452.5501034564113</v>
      </c>
      <c r="G81" s="60">
        <f t="shared" si="27"/>
        <v>3319.7031096637947</v>
      </c>
      <c r="H81" s="60">
        <f t="shared" si="27"/>
        <v>3193.8852962436231</v>
      </c>
      <c r="I81" s="60">
        <f t="shared" si="27"/>
        <v>3075.5184140182391</v>
      </c>
      <c r="J81" s="60">
        <f t="shared" si="27"/>
        <v>2965.0495188593341</v>
      </c>
      <c r="K81" s="60">
        <f t="shared" si="27"/>
        <v>2862.9524899908956</v>
      </c>
      <c r="L81" s="60">
        <f t="shared" si="27"/>
        <v>0</v>
      </c>
    </row>
    <row r="82" spans="1:12" ht="19">
      <c r="A82" s="60"/>
      <c r="B82" s="60"/>
      <c r="C82" s="60"/>
      <c r="D82" s="60"/>
      <c r="E82" s="60"/>
      <c r="F82" s="60"/>
      <c r="G82" s="60"/>
      <c r="H82" s="60"/>
      <c r="I82" s="60"/>
      <c r="J82" s="60"/>
      <c r="K82" s="60"/>
      <c r="L82" s="60"/>
    </row>
    <row r="83" spans="1:12" ht="19">
      <c r="A83" s="60" t="s">
        <v>245</v>
      </c>
      <c r="B83" s="60">
        <f>B73</f>
        <v>15037.179487179486</v>
      </c>
      <c r="C83" s="60">
        <f t="shared" ref="C83:L83" si="28">C73</f>
        <v>23336.392307692309</v>
      </c>
      <c r="D83" s="60">
        <f t="shared" si="28"/>
        <v>22426.57584615385</v>
      </c>
      <c r="E83" s="60">
        <f t="shared" si="28"/>
        <v>21552.17039692308</v>
      </c>
      <c r="F83" s="60">
        <f t="shared" si="28"/>
        <v>20715.300620738468</v>
      </c>
      <c r="G83" s="60">
        <f t="shared" si="28"/>
        <v>19918.218657982772</v>
      </c>
      <c r="H83" s="60">
        <f t="shared" si="28"/>
        <v>19163.311777461742</v>
      </c>
      <c r="I83" s="60">
        <f t="shared" si="28"/>
        <v>18453.110484109442</v>
      </c>
      <c r="J83" s="60">
        <f t="shared" si="28"/>
        <v>17790.297113156012</v>
      </c>
      <c r="K83" s="60">
        <f t="shared" si="28"/>
        <v>17177.714939945377</v>
      </c>
      <c r="L83" s="60">
        <f t="shared" si="28"/>
        <v>0</v>
      </c>
    </row>
    <row r="84" spans="1:12" ht="19">
      <c r="A84" s="58"/>
      <c r="B84" s="58"/>
      <c r="C84" s="58"/>
      <c r="D84" s="58"/>
      <c r="E84" s="58"/>
      <c r="F84" s="58"/>
      <c r="G84" s="58"/>
      <c r="H84" s="58"/>
      <c r="I84" s="58"/>
      <c r="J84" s="58"/>
      <c r="K84" s="58"/>
      <c r="L84" s="58"/>
    </row>
    <row r="85" spans="1:12" ht="19">
      <c r="A85" s="64"/>
      <c r="B85" s="65"/>
      <c r="C85" s="64"/>
      <c r="D85" s="64"/>
      <c r="E85" s="64"/>
      <c r="F85" s="64"/>
      <c r="G85" s="64"/>
      <c r="H85" s="64"/>
      <c r="I85" s="64"/>
      <c r="J85" s="64"/>
      <c r="K85" s="64"/>
      <c r="L85" s="64"/>
    </row>
    <row r="86" spans="1:12" ht="19">
      <c r="A86" s="60" t="s">
        <v>186</v>
      </c>
      <c r="B86" s="59"/>
      <c r="C86" s="58"/>
      <c r="D86" s="58"/>
      <c r="E86" s="58"/>
      <c r="F86" s="58"/>
      <c r="G86" s="58"/>
      <c r="H86" s="58"/>
      <c r="I86" s="58"/>
      <c r="J86" s="58"/>
      <c r="K86" s="58"/>
      <c r="L86" s="58"/>
    </row>
    <row r="87" spans="1:12" ht="19">
      <c r="A87" s="58"/>
      <c r="B87" s="59"/>
      <c r="C87" s="58"/>
      <c r="D87" s="58"/>
      <c r="E87" s="58"/>
      <c r="F87" s="58"/>
      <c r="G87" s="58"/>
      <c r="H87" s="58"/>
      <c r="I87" s="58"/>
      <c r="J87" s="58"/>
      <c r="K87" s="58"/>
      <c r="L87" s="58"/>
    </row>
    <row r="88" spans="1:12" ht="19">
      <c r="A88" s="66" t="s">
        <v>73</v>
      </c>
      <c r="B88" s="67"/>
      <c r="C88" s="67">
        <f t="shared" ref="C88:L88" si="29">C36/C31</f>
        <v>0.52810650887573962</v>
      </c>
      <c r="D88" s="67">
        <f t="shared" si="29"/>
        <v>0.52810650887573962</v>
      </c>
      <c r="E88" s="67">
        <f t="shared" si="29"/>
        <v>0.52810650887573962</v>
      </c>
      <c r="F88" s="67">
        <f t="shared" si="29"/>
        <v>0.52810650887573973</v>
      </c>
      <c r="G88" s="67">
        <f t="shared" si="29"/>
        <v>0.52810650887573962</v>
      </c>
      <c r="H88" s="67">
        <f t="shared" si="29"/>
        <v>0.52810650887573951</v>
      </c>
      <c r="I88" s="67">
        <f t="shared" si="29"/>
        <v>0.52810650887573962</v>
      </c>
      <c r="J88" s="67">
        <f t="shared" si="29"/>
        <v>0.52810650887573973</v>
      </c>
      <c r="K88" s="67">
        <f t="shared" si="29"/>
        <v>0.52810650887573962</v>
      </c>
      <c r="L88" s="67">
        <f t="shared" si="29"/>
        <v>0.52810650887573962</v>
      </c>
    </row>
    <row r="89" spans="1:12" ht="19">
      <c r="A89" s="66" t="s">
        <v>74</v>
      </c>
      <c r="B89" s="67"/>
      <c r="C89" s="67">
        <f t="shared" ref="C89:L89" si="30">C40/C31</f>
        <v>-0.43343195266272194</v>
      </c>
      <c r="D89" s="67">
        <f t="shared" si="30"/>
        <v>0.14349112426035507</v>
      </c>
      <c r="E89" s="67">
        <f t="shared" si="30"/>
        <v>0.14349112426035499</v>
      </c>
      <c r="F89" s="67">
        <f t="shared" si="30"/>
        <v>0.14349112426035504</v>
      </c>
      <c r="G89" s="67">
        <f t="shared" si="30"/>
        <v>0.14349112426035501</v>
      </c>
      <c r="H89" s="67">
        <f t="shared" si="30"/>
        <v>0.14349112426035493</v>
      </c>
      <c r="I89" s="67">
        <f t="shared" si="30"/>
        <v>0.14349112426035504</v>
      </c>
      <c r="J89" s="67">
        <f t="shared" si="30"/>
        <v>0.14349112426035504</v>
      </c>
      <c r="K89" s="67">
        <f t="shared" si="30"/>
        <v>0.1434911242603551</v>
      </c>
      <c r="L89" s="67">
        <f t="shared" si="30"/>
        <v>0.14349112426035504</v>
      </c>
    </row>
    <row r="90" spans="1:12" ht="19">
      <c r="A90" s="66" t="s">
        <v>75</v>
      </c>
      <c r="B90" s="67"/>
      <c r="C90" s="67">
        <f t="shared" ref="C90:L90" si="31">C44/C31</f>
        <v>-0.56949871608797598</v>
      </c>
      <c r="D90" s="67">
        <f t="shared" si="31"/>
        <v>9.2145175797995069E-2</v>
      </c>
      <c r="E90" s="67">
        <f t="shared" si="31"/>
        <v>9.5051550239260665E-2</v>
      </c>
      <c r="F90" s="67">
        <f t="shared" si="31"/>
        <v>9.7793412919700021E-2</v>
      </c>
      <c r="G90" s="67">
        <f t="shared" si="31"/>
        <v>0.10038007582577482</v>
      </c>
      <c r="H90" s="67">
        <f t="shared" si="31"/>
        <v>0.1028203238503736</v>
      </c>
      <c r="I90" s="67">
        <f t="shared" si="31"/>
        <v>0.10512244462829719</v>
      </c>
      <c r="J90" s="67">
        <f t="shared" si="31"/>
        <v>0.10729425668294197</v>
      </c>
      <c r="K90" s="67">
        <f t="shared" si="31"/>
        <v>0.10934313597977673</v>
      </c>
      <c r="L90" s="67">
        <f t="shared" si="31"/>
        <v>0.11127604097679054</v>
      </c>
    </row>
    <row r="91" spans="1:12" ht="19">
      <c r="A91" s="66" t="s">
        <v>76</v>
      </c>
      <c r="B91" s="67"/>
      <c r="C91" s="67">
        <f t="shared" ref="C91:L91" si="32">C71/C31</f>
        <v>0.89227071005917169</v>
      </c>
      <c r="D91" s="67">
        <f t="shared" si="32"/>
        <v>0.35690828402366864</v>
      </c>
      <c r="E91" s="67">
        <f t="shared" si="32"/>
        <v>0.35690828402366859</v>
      </c>
      <c r="F91" s="67">
        <f t="shared" si="32"/>
        <v>0.35690828402366875</v>
      </c>
      <c r="G91" s="67">
        <f t="shared" si="32"/>
        <v>0.35690828402366859</v>
      </c>
      <c r="H91" s="67">
        <f t="shared" si="32"/>
        <v>0.35690828402366875</v>
      </c>
      <c r="I91" s="67">
        <f t="shared" si="32"/>
        <v>0.35690828402366848</v>
      </c>
      <c r="J91" s="67">
        <f t="shared" si="32"/>
        <v>0.3569082840236687</v>
      </c>
      <c r="K91" s="67">
        <f t="shared" si="32"/>
        <v>0.35690828402366864</v>
      </c>
      <c r="L91" s="67">
        <f t="shared" si="32"/>
        <v>0</v>
      </c>
    </row>
    <row r="92" spans="1:12" ht="19">
      <c r="A92" s="68" t="s">
        <v>77</v>
      </c>
      <c r="B92" s="59"/>
      <c r="C92" s="54">
        <f t="shared" ref="C92:K92" si="33">2*C31/(C73+B73)</f>
        <v>0.57456210013128028</v>
      </c>
      <c r="D92" s="54">
        <f t="shared" si="33"/>
        <v>1.276735368291217</v>
      </c>
      <c r="E92" s="54">
        <f t="shared" si="33"/>
        <v>1.4082446020104402</v>
      </c>
      <c r="F92" s="54">
        <f t="shared" si="33"/>
        <v>1.5531755352140308</v>
      </c>
      <c r="G92" s="54">
        <f t="shared" si="33"/>
        <v>1.7125696043670375</v>
      </c>
      <c r="H92" s="54">
        <f t="shared" si="33"/>
        <v>1.8874131339138549</v>
      </c>
      <c r="I92" s="54">
        <f t="shared" si="33"/>
        <v>2.0785808103666512</v>
      </c>
      <c r="J92" s="54">
        <f t="shared" si="33"/>
        <v>2.2867634521721145</v>
      </c>
      <c r="K92" s="54">
        <f t="shared" si="33"/>
        <v>2.5123791920092344</v>
      </c>
      <c r="L92" s="54">
        <f>L31/(K73)</f>
        <v>2.7106073347298358</v>
      </c>
    </row>
    <row r="93" spans="1:12" ht="19">
      <c r="A93" s="66" t="s">
        <v>78</v>
      </c>
      <c r="B93" s="67"/>
      <c r="C93" s="67">
        <f t="shared" ref="C93:K93" si="34">2*C44/(C73+B73)</f>
        <v>-0.32721237833757516</v>
      </c>
      <c r="D93" s="67">
        <f t="shared" si="34"/>
        <v>0.11764500495871218</v>
      </c>
      <c r="E93" s="67">
        <f t="shared" si="34"/>
        <v>0.13385583253716302</v>
      </c>
      <c r="F93" s="67">
        <f t="shared" si="34"/>
        <v>0.15189033645196179</v>
      </c>
      <c r="G93" s="67">
        <f t="shared" si="34"/>
        <v>0.17190786674328043</v>
      </c>
      <c r="H93" s="67">
        <f t="shared" si="34"/>
        <v>0.19406442966847109</v>
      </c>
      <c r="I93" s="67">
        <f t="shared" si="34"/>
        <v>0.21850549614320938</v>
      </c>
      <c r="J93" s="67">
        <f t="shared" si="34"/>
        <v>0.24535658481052536</v>
      </c>
      <c r="K93" s="67">
        <f t="shared" si="34"/>
        <v>0.27471141962462731</v>
      </c>
      <c r="L93" s="67">
        <f>L44/(K73)</f>
        <v>0.30162565285138621</v>
      </c>
    </row>
    <row r="94" spans="1:12" ht="19">
      <c r="A94" s="62"/>
      <c r="B94" s="63"/>
      <c r="C94" s="62"/>
      <c r="D94" s="62"/>
      <c r="E94" s="62"/>
      <c r="F94" s="62"/>
      <c r="G94" s="62"/>
      <c r="H94" s="62"/>
      <c r="I94" s="62"/>
      <c r="J94" s="62"/>
      <c r="K94" s="62"/>
      <c r="L94" s="62"/>
    </row>
    <row r="95" spans="1:12" ht="20" thickBot="1">
      <c r="A95" s="69"/>
      <c r="B95" s="70"/>
      <c r="C95" s="69" t="s">
        <v>41</v>
      </c>
      <c r="D95" s="69"/>
      <c r="E95" s="69"/>
      <c r="F95" s="69"/>
      <c r="G95" s="69"/>
      <c r="H95" s="69"/>
      <c r="I95" s="69"/>
      <c r="J95" s="69"/>
      <c r="K95" s="69"/>
      <c r="L95" s="69"/>
    </row>
    <row r="96" spans="1:12" ht="23" thickTop="1" thickBot="1">
      <c r="A96" s="22" t="s">
        <v>79</v>
      </c>
      <c r="B96" s="70"/>
      <c r="C96" s="69"/>
      <c r="D96" s="69"/>
      <c r="E96" s="69"/>
      <c r="F96" s="69"/>
      <c r="G96" s="69"/>
      <c r="H96" s="69"/>
      <c r="I96" s="69"/>
      <c r="J96" s="69"/>
      <c r="K96" s="69"/>
      <c r="L96" s="69"/>
    </row>
    <row r="97" spans="1:12" ht="20" thickTop="1">
      <c r="A97" s="23"/>
      <c r="B97" s="23"/>
      <c r="C97" s="23"/>
      <c r="D97" s="23"/>
      <c r="E97" s="23"/>
      <c r="F97" s="23"/>
      <c r="G97" s="23"/>
      <c r="H97" s="23"/>
      <c r="I97" s="23"/>
      <c r="J97" s="23"/>
      <c r="K97" s="23"/>
      <c r="L97" s="23"/>
    </row>
    <row r="98" spans="1:12" ht="19">
      <c r="A98" s="71" t="s">
        <v>62</v>
      </c>
      <c r="B98" s="71">
        <v>0</v>
      </c>
      <c r="C98" s="71">
        <f>B98+1</f>
        <v>1</v>
      </c>
      <c r="D98" s="71">
        <f>C98+1</f>
        <v>2</v>
      </c>
      <c r="E98" s="71">
        <f t="shared" ref="E98:L98" si="35">D98+1</f>
        <v>3</v>
      </c>
      <c r="F98" s="71">
        <f t="shared" si="35"/>
        <v>4</v>
      </c>
      <c r="G98" s="71">
        <f t="shared" si="35"/>
        <v>5</v>
      </c>
      <c r="H98" s="71">
        <f t="shared" si="35"/>
        <v>6</v>
      </c>
      <c r="I98" s="71">
        <f t="shared" si="35"/>
        <v>7</v>
      </c>
      <c r="J98" s="71">
        <f t="shared" si="35"/>
        <v>8</v>
      </c>
      <c r="K98" s="71">
        <f t="shared" si="35"/>
        <v>9</v>
      </c>
      <c r="L98" s="71">
        <f t="shared" si="35"/>
        <v>10</v>
      </c>
    </row>
    <row r="99" spans="1:12" ht="19">
      <c r="A99" s="51"/>
      <c r="B99" s="51"/>
      <c r="C99" s="51"/>
      <c r="D99" s="51"/>
      <c r="E99" s="51"/>
      <c r="F99" s="51"/>
      <c r="G99" s="51"/>
      <c r="H99" s="51"/>
      <c r="I99" s="51"/>
      <c r="J99" s="51"/>
      <c r="K99" s="51"/>
      <c r="L99" s="51"/>
    </row>
    <row r="100" spans="1:12" ht="19">
      <c r="A100" s="72" t="s">
        <v>80</v>
      </c>
      <c r="B100" s="72"/>
      <c r="C100" s="72">
        <f t="shared" ref="C100:L100" si="36">C40</f>
        <v>-4778.1538461538466</v>
      </c>
      <c r="D100" s="72">
        <f t="shared" si="36"/>
        <v>4191.8923076923093</v>
      </c>
      <c r="E100" s="72">
        <f t="shared" si="36"/>
        <v>4443.4058461538461</v>
      </c>
      <c r="F100" s="72">
        <f t="shared" si="36"/>
        <v>4710.0101969230782</v>
      </c>
      <c r="G100" s="72">
        <f t="shared" si="36"/>
        <v>4992.6108087384637</v>
      </c>
      <c r="H100" s="72">
        <f t="shared" si="36"/>
        <v>5292.1674572627671</v>
      </c>
      <c r="I100" s="72">
        <f t="shared" si="36"/>
        <v>5609.697504698539</v>
      </c>
      <c r="J100" s="72">
        <f t="shared" si="36"/>
        <v>5946.2793549804501</v>
      </c>
      <c r="K100" s="72">
        <f t="shared" si="36"/>
        <v>6303.0561162792801</v>
      </c>
      <c r="L100" s="72">
        <f t="shared" si="36"/>
        <v>6681.2394832560349</v>
      </c>
    </row>
    <row r="101" spans="1:12" ht="19">
      <c r="A101" s="72" t="s">
        <v>81</v>
      </c>
      <c r="B101" s="72"/>
      <c r="C101" s="72">
        <f t="shared" ref="C101:L101" si="37">C100*(1-$F23)</f>
        <v>-3344.7076923076925</v>
      </c>
      <c r="D101" s="72">
        <f t="shared" si="37"/>
        <v>2934.3246153846162</v>
      </c>
      <c r="E101" s="72">
        <f t="shared" si="37"/>
        <v>3110.3840923076923</v>
      </c>
      <c r="F101" s="72">
        <f t="shared" si="37"/>
        <v>3297.0071378461544</v>
      </c>
      <c r="G101" s="72">
        <f t="shared" si="37"/>
        <v>3494.8275661169246</v>
      </c>
      <c r="H101" s="72">
        <f t="shared" si="37"/>
        <v>3704.5172200839365</v>
      </c>
      <c r="I101" s="72">
        <f t="shared" si="37"/>
        <v>3926.7882532889771</v>
      </c>
      <c r="J101" s="72">
        <f t="shared" si="37"/>
        <v>4162.3955484863145</v>
      </c>
      <c r="K101" s="72">
        <f t="shared" si="37"/>
        <v>4412.1392813954953</v>
      </c>
      <c r="L101" s="72">
        <f t="shared" si="37"/>
        <v>4676.8676382792237</v>
      </c>
    </row>
    <row r="102" spans="1:12" ht="19">
      <c r="A102" s="72"/>
      <c r="B102" s="72"/>
      <c r="C102" s="72"/>
      <c r="D102" s="72"/>
      <c r="E102" s="72"/>
      <c r="F102" s="72"/>
      <c r="G102" s="72"/>
      <c r="H102" s="72"/>
      <c r="I102" s="72"/>
      <c r="J102" s="72"/>
      <c r="K102" s="72"/>
      <c r="L102" s="72"/>
    </row>
    <row r="103" spans="1:12" ht="19">
      <c r="A103" s="72" t="s">
        <v>82</v>
      </c>
      <c r="B103" s="72"/>
      <c r="C103" s="72">
        <f t="shared" ref="C103:L103" si="38">-C42</f>
        <v>1500</v>
      </c>
      <c r="D103" s="72">
        <f t="shared" si="38"/>
        <v>1500</v>
      </c>
      <c r="E103" s="72">
        <f t="shared" si="38"/>
        <v>1500</v>
      </c>
      <c r="F103" s="72">
        <f t="shared" si="38"/>
        <v>1500</v>
      </c>
      <c r="G103" s="72">
        <f t="shared" si="38"/>
        <v>1500</v>
      </c>
      <c r="H103" s="72">
        <f t="shared" si="38"/>
        <v>1500</v>
      </c>
      <c r="I103" s="72">
        <f t="shared" si="38"/>
        <v>1500</v>
      </c>
      <c r="J103" s="72">
        <f t="shared" si="38"/>
        <v>1500</v>
      </c>
      <c r="K103" s="72">
        <f t="shared" si="38"/>
        <v>1500</v>
      </c>
      <c r="L103" s="72">
        <f t="shared" si="38"/>
        <v>1500</v>
      </c>
    </row>
    <row r="104" spans="1:12" ht="19">
      <c r="A104" s="72" t="s">
        <v>83</v>
      </c>
      <c r="B104" s="72"/>
      <c r="C104" s="72">
        <f t="shared" ref="C104:L104" si="39">C103*$F23</f>
        <v>450</v>
      </c>
      <c r="D104" s="72">
        <f t="shared" si="39"/>
        <v>450</v>
      </c>
      <c r="E104" s="72">
        <f t="shared" si="39"/>
        <v>450</v>
      </c>
      <c r="F104" s="72">
        <f t="shared" si="39"/>
        <v>450</v>
      </c>
      <c r="G104" s="72">
        <f t="shared" si="39"/>
        <v>450</v>
      </c>
      <c r="H104" s="72">
        <f t="shared" si="39"/>
        <v>450</v>
      </c>
      <c r="I104" s="72">
        <f t="shared" si="39"/>
        <v>450</v>
      </c>
      <c r="J104" s="72">
        <f t="shared" si="39"/>
        <v>450</v>
      </c>
      <c r="K104" s="72">
        <f t="shared" si="39"/>
        <v>450</v>
      </c>
      <c r="L104" s="72">
        <f t="shared" si="39"/>
        <v>450</v>
      </c>
    </row>
    <row r="105" spans="1:12" ht="19">
      <c r="A105" s="72"/>
      <c r="B105" s="72"/>
      <c r="C105" s="72"/>
      <c r="D105" s="72"/>
      <c r="E105" s="72"/>
      <c r="F105" s="72"/>
      <c r="G105" s="72"/>
      <c r="H105" s="72"/>
      <c r="I105" s="72"/>
      <c r="J105" s="72"/>
      <c r="K105" s="72"/>
      <c r="L105" s="72"/>
    </row>
    <row r="106" spans="1:12" ht="19">
      <c r="A106" s="72" t="s">
        <v>84</v>
      </c>
      <c r="B106" s="72"/>
      <c r="C106" s="72">
        <f>C101+C104</f>
        <v>-2894.7076923076925</v>
      </c>
      <c r="D106" s="72">
        <f t="shared" ref="D106:L106" si="40">D101+D104</f>
        <v>3384.3246153846162</v>
      </c>
      <c r="E106" s="72">
        <f t="shared" si="40"/>
        <v>3560.3840923076923</v>
      </c>
      <c r="F106" s="72">
        <f t="shared" si="40"/>
        <v>3747.0071378461544</v>
      </c>
      <c r="G106" s="72">
        <f t="shared" si="40"/>
        <v>3944.8275661169246</v>
      </c>
      <c r="H106" s="72">
        <f t="shared" si="40"/>
        <v>4154.517220083937</v>
      </c>
      <c r="I106" s="72">
        <f t="shared" si="40"/>
        <v>4376.7882532889771</v>
      </c>
      <c r="J106" s="72">
        <f t="shared" si="40"/>
        <v>4612.3955484863145</v>
      </c>
      <c r="K106" s="72">
        <f t="shared" si="40"/>
        <v>4862.1392813954953</v>
      </c>
      <c r="L106" s="72">
        <f t="shared" si="40"/>
        <v>5126.8676382792237</v>
      </c>
    </row>
    <row r="107" spans="1:12" ht="19">
      <c r="A107" s="72"/>
      <c r="B107" s="72"/>
      <c r="C107" s="72"/>
      <c r="D107" s="72"/>
      <c r="E107" s="72"/>
      <c r="F107" s="72"/>
      <c r="G107" s="72"/>
      <c r="H107" s="72"/>
      <c r="I107" s="72"/>
      <c r="J107" s="72"/>
      <c r="K107" s="72"/>
      <c r="L107" s="72"/>
    </row>
    <row r="108" spans="1:12" ht="19">
      <c r="A108" s="72" t="s">
        <v>85</v>
      </c>
      <c r="B108" s="72">
        <f>-C6</f>
        <v>-15000</v>
      </c>
      <c r="C108" s="72"/>
      <c r="D108" s="72"/>
      <c r="E108" s="72"/>
      <c r="F108" s="72"/>
      <c r="G108" s="72"/>
      <c r="H108" s="72"/>
      <c r="I108" s="72"/>
      <c r="J108" s="72"/>
      <c r="K108" s="72"/>
      <c r="L108" s="72"/>
    </row>
    <row r="109" spans="1:12" ht="19">
      <c r="A109" s="72"/>
      <c r="B109" s="72"/>
      <c r="C109" s="72"/>
      <c r="D109" s="72"/>
      <c r="E109" s="72"/>
      <c r="F109" s="72"/>
      <c r="G109" s="72"/>
      <c r="H109" s="72"/>
      <c r="I109" s="72"/>
      <c r="J109" s="72"/>
      <c r="K109" s="72"/>
      <c r="L109" s="72"/>
    </row>
    <row r="110" spans="1:12" ht="19">
      <c r="A110" s="72" t="s">
        <v>86</v>
      </c>
      <c r="B110" s="72">
        <f>-B71</f>
        <v>-37.179487179487069</v>
      </c>
      <c r="C110" s="72">
        <f>B71-C71</f>
        <v>-9799.2128205128229</v>
      </c>
      <c r="D110" s="72">
        <f t="shared" ref="D110:L110" si="41">C71-D71</f>
        <v>-590.18353846153877</v>
      </c>
      <c r="E110" s="72">
        <f t="shared" si="41"/>
        <v>-625.59455076923041</v>
      </c>
      <c r="F110" s="72">
        <f t="shared" si="41"/>
        <v>-663.1302238153894</v>
      </c>
      <c r="G110" s="72">
        <f>F71-G71</f>
        <v>-702.91803724430429</v>
      </c>
      <c r="H110" s="72">
        <f t="shared" si="41"/>
        <v>-745.09311947897186</v>
      </c>
      <c r="I110" s="72">
        <f t="shared" si="41"/>
        <v>-789.79870664769805</v>
      </c>
      <c r="J110" s="72">
        <f t="shared" si="41"/>
        <v>-837.18662904656958</v>
      </c>
      <c r="K110" s="72">
        <f t="shared" si="41"/>
        <v>-887.41782678936397</v>
      </c>
      <c r="L110" s="72">
        <f t="shared" si="41"/>
        <v>15677.714939945376</v>
      </c>
    </row>
    <row r="111" spans="1:12" ht="19">
      <c r="A111" s="72"/>
      <c r="B111" s="72"/>
      <c r="C111" s="72"/>
      <c r="D111" s="72"/>
      <c r="E111" s="72"/>
      <c r="F111" s="72"/>
      <c r="G111" s="72"/>
      <c r="H111" s="72"/>
      <c r="I111" s="72"/>
      <c r="J111" s="72"/>
      <c r="K111" s="72"/>
      <c r="L111" s="72"/>
    </row>
    <row r="112" spans="1:12" ht="19">
      <c r="A112" s="72" t="s">
        <v>87</v>
      </c>
      <c r="B112" s="72"/>
      <c r="C112" s="72"/>
      <c r="D112" s="72"/>
      <c r="E112" s="72"/>
      <c r="F112" s="72"/>
      <c r="G112" s="72"/>
      <c r="H112" s="72"/>
      <c r="I112" s="72"/>
      <c r="J112" s="72"/>
      <c r="K112" s="72"/>
      <c r="L112" s="72">
        <f>F6</f>
        <v>2000</v>
      </c>
    </row>
    <row r="113" spans="1:12" ht="19">
      <c r="A113" s="72" t="s">
        <v>88</v>
      </c>
      <c r="B113" s="72"/>
      <c r="C113" s="72"/>
      <c r="D113" s="72"/>
      <c r="E113" s="72"/>
      <c r="F113" s="72"/>
      <c r="G113" s="72"/>
      <c r="H113" s="72"/>
      <c r="I113" s="72"/>
      <c r="J113" s="72"/>
      <c r="K113" s="72"/>
      <c r="L113" s="72">
        <f>-L112*I6</f>
        <v>-500</v>
      </c>
    </row>
    <row r="114" spans="1:12" ht="19">
      <c r="A114" s="72"/>
      <c r="B114" s="72"/>
      <c r="C114" s="72"/>
      <c r="D114" s="72"/>
      <c r="E114" s="72"/>
      <c r="F114" s="72"/>
      <c r="G114" s="72"/>
      <c r="H114" s="72"/>
      <c r="I114" s="72"/>
      <c r="J114" s="72"/>
      <c r="K114" s="72"/>
      <c r="L114" s="72"/>
    </row>
    <row r="115" spans="1:12" ht="19">
      <c r="A115" s="72" t="s">
        <v>89</v>
      </c>
      <c r="B115" s="72">
        <f>B108+B110</f>
        <v>-15037.179487179486</v>
      </c>
      <c r="C115" s="72">
        <f>C106+C110</f>
        <v>-12693.920512820516</v>
      </c>
      <c r="D115" s="72">
        <f t="shared" ref="D115:K115" si="42">D106+D110</f>
        <v>2794.1410769230774</v>
      </c>
      <c r="E115" s="72">
        <f t="shared" si="42"/>
        <v>2934.7895415384619</v>
      </c>
      <c r="F115" s="72">
        <f t="shared" si="42"/>
        <v>3083.876914030765</v>
      </c>
      <c r="G115" s="72">
        <f t="shared" si="42"/>
        <v>3241.9095288726203</v>
      </c>
      <c r="H115" s="72">
        <f t="shared" si="42"/>
        <v>3409.4241006049651</v>
      </c>
      <c r="I115" s="72">
        <f t="shared" si="42"/>
        <v>3586.989546641279</v>
      </c>
      <c r="J115" s="72">
        <f t="shared" si="42"/>
        <v>3775.2089194397449</v>
      </c>
      <c r="K115" s="72">
        <f t="shared" si="42"/>
        <v>3974.7214546061314</v>
      </c>
      <c r="L115" s="72">
        <f>L106+L110+L112+L113</f>
        <v>22304.582578224599</v>
      </c>
    </row>
    <row r="116" spans="1:12" ht="19">
      <c r="A116" s="72"/>
      <c r="B116" s="72"/>
      <c r="C116" s="72"/>
      <c r="D116" s="72"/>
      <c r="E116" s="72"/>
      <c r="F116" s="72"/>
      <c r="G116" s="72"/>
      <c r="H116" s="72"/>
      <c r="I116" s="72"/>
      <c r="J116" s="72"/>
      <c r="K116" s="72"/>
      <c r="L116" s="72"/>
    </row>
    <row r="117" spans="1:12" ht="19">
      <c r="A117" s="72" t="s">
        <v>90</v>
      </c>
      <c r="B117" s="72">
        <f>B115/((1+$B38)^B98)</f>
        <v>-15037.179487179486</v>
      </c>
      <c r="C117" s="72">
        <f t="shared" ref="C117:L117" si="43">C115/((1+$B23)^C98)</f>
        <v>-11496.429430482587</v>
      </c>
      <c r="D117" s="72">
        <f t="shared" si="43"/>
        <v>2291.8317758524245</v>
      </c>
      <c r="E117" s="72">
        <f t="shared" si="43"/>
        <v>2180.1108313727391</v>
      </c>
      <c r="F117" s="72">
        <f t="shared" si="43"/>
        <v>2074.7503618011629</v>
      </c>
      <c r="G117" s="72">
        <f t="shared" si="43"/>
        <v>1975.3174820941124</v>
      </c>
      <c r="H117" s="72">
        <f t="shared" si="43"/>
        <v>1881.41345902428</v>
      </c>
      <c r="I117" s="72">
        <f t="shared" si="43"/>
        <v>1792.6707568043948</v>
      </c>
      <c r="J117" s="72">
        <f t="shared" si="43"/>
        <v>1708.7503507208144</v>
      </c>
      <c r="K117" s="72">
        <f t="shared" si="43"/>
        <v>1629.3392839221124</v>
      </c>
      <c r="L117" s="72">
        <f t="shared" si="43"/>
        <v>8280.6824950099181</v>
      </c>
    </row>
    <row r="118" spans="1:12" ht="19">
      <c r="A118" s="72"/>
      <c r="B118" s="72"/>
      <c r="C118" s="72"/>
      <c r="D118" s="72"/>
      <c r="E118" s="72"/>
      <c r="F118" s="72"/>
      <c r="G118" s="72"/>
      <c r="H118" s="72"/>
      <c r="I118" s="72"/>
      <c r="J118" s="72"/>
      <c r="K118" s="72"/>
      <c r="L118" s="72"/>
    </row>
    <row r="119" spans="1:12" ht="19">
      <c r="A119" s="72" t="s">
        <v>91</v>
      </c>
      <c r="B119" s="72">
        <f>B117</f>
        <v>-15037.179487179486</v>
      </c>
      <c r="C119" s="72">
        <f>B119+C117</f>
        <v>-26533.608917662074</v>
      </c>
      <c r="D119" s="72">
        <f t="shared" ref="D119:L119" si="44">C119+D117</f>
        <v>-24241.777141809649</v>
      </c>
      <c r="E119" s="72">
        <f t="shared" si="44"/>
        <v>-22061.666310436911</v>
      </c>
      <c r="F119" s="72">
        <f t="shared" si="44"/>
        <v>-19986.915948635749</v>
      </c>
      <c r="G119" s="72">
        <f t="shared" si="44"/>
        <v>-18011.598466541636</v>
      </c>
      <c r="H119" s="72">
        <f t="shared" si="44"/>
        <v>-16130.185007517357</v>
      </c>
      <c r="I119" s="72">
        <f t="shared" si="44"/>
        <v>-14337.514250712962</v>
      </c>
      <c r="J119" s="72">
        <f t="shared" si="44"/>
        <v>-12628.763899992147</v>
      </c>
      <c r="K119" s="72">
        <f t="shared" si="44"/>
        <v>-10999.424616070035</v>
      </c>
      <c r="L119" s="72">
        <f t="shared" si="44"/>
        <v>-2718.7421210601169</v>
      </c>
    </row>
    <row r="120" spans="1:12" ht="19">
      <c r="A120" s="73"/>
      <c r="B120" s="73"/>
      <c r="C120" s="73"/>
      <c r="D120" s="73"/>
      <c r="E120" s="73"/>
      <c r="F120" s="73"/>
      <c r="G120" s="73"/>
      <c r="H120" s="73"/>
      <c r="I120" s="73"/>
      <c r="J120" s="73"/>
      <c r="K120" s="73"/>
      <c r="L120" s="73"/>
    </row>
    <row r="121" spans="1:12" ht="19">
      <c r="A121" s="35"/>
      <c r="B121" s="36"/>
      <c r="C121" s="36"/>
      <c r="D121" s="36"/>
      <c r="E121" s="36"/>
      <c r="F121" s="36"/>
      <c r="G121" s="36"/>
      <c r="H121" s="36"/>
      <c r="I121" s="36"/>
      <c r="J121" s="36"/>
      <c r="K121" s="36"/>
      <c r="L121" s="38"/>
    </row>
    <row r="122" spans="1:12" ht="19">
      <c r="A122" s="80" t="s">
        <v>247</v>
      </c>
      <c r="B122" s="27">
        <f>L119</f>
        <v>-2718.7421210601169</v>
      </c>
      <c r="E122" s="81" t="s">
        <v>92</v>
      </c>
      <c r="F122" s="23"/>
      <c r="G122" s="23"/>
      <c r="H122" s="82">
        <f>IRR(B115:L115,0)</f>
        <v>8.6041591633621461E-2</v>
      </c>
      <c r="J122" s="32" t="s">
        <v>141</v>
      </c>
      <c r="L122" s="83">
        <f>IRR(B54:L54,10%)</f>
        <v>8.7059471393019949E-2</v>
      </c>
    </row>
    <row r="123" spans="1:12" ht="19">
      <c r="A123" s="39"/>
      <c r="B123" s="23"/>
      <c r="C123" s="23"/>
      <c r="D123" s="23"/>
      <c r="E123" s="23"/>
      <c r="F123" s="23"/>
      <c r="G123" s="23"/>
      <c r="H123" s="23"/>
      <c r="I123" s="23"/>
      <c r="J123" s="23"/>
      <c r="K123" s="23"/>
      <c r="L123" s="41"/>
    </row>
    <row r="124" spans="1:12" ht="19">
      <c r="A124" s="84" t="s">
        <v>93</v>
      </c>
      <c r="B124" s="27" t="s">
        <v>235</v>
      </c>
      <c r="C124" s="23" t="s">
        <v>94</v>
      </c>
      <c r="D124" s="23"/>
      <c r="E124" s="26" t="s">
        <v>144</v>
      </c>
      <c r="F124" s="26"/>
      <c r="G124" s="26"/>
      <c r="H124" s="96">
        <f>AVERAGE(C93:L93)*(1-F23)</f>
        <v>0.1037645171816233</v>
      </c>
      <c r="I124" s="23"/>
      <c r="J124" s="32" t="s">
        <v>142</v>
      </c>
      <c r="K124" s="23"/>
      <c r="L124" s="83">
        <f>IRR(B58:L58,10%)</f>
        <v>4.0910720248980237E-2</v>
      </c>
    </row>
    <row r="125" spans="1:12">
      <c r="A125" s="13"/>
      <c r="B125" s="14"/>
      <c r="C125" s="14"/>
      <c r="D125" s="14"/>
      <c r="E125" s="14"/>
      <c r="F125" s="14"/>
      <c r="G125" s="14"/>
      <c r="H125" s="14"/>
      <c r="I125" s="14"/>
      <c r="J125" s="14"/>
      <c r="K125" s="14"/>
      <c r="L125" s="15"/>
    </row>
    <row r="126" spans="1:12" ht="17" thickBot="1"/>
    <row r="127" spans="1:12" ht="19">
      <c r="A127" s="85"/>
      <c r="B127" s="86"/>
      <c r="C127" s="87"/>
    </row>
    <row r="128" spans="1:12" ht="19">
      <c r="A128" s="88" t="s">
        <v>143</v>
      </c>
      <c r="B128" s="69">
        <f>-NPV(CMPC!B34,'BP¨500 capacité réduite'!B58:L58)</f>
        <v>-455.27367905891811</v>
      </c>
      <c r="C128" s="90" t="s">
        <v>262</v>
      </c>
    </row>
    <row r="129" spans="1:3" ht="19">
      <c r="A129" s="91"/>
      <c r="B129" s="23"/>
      <c r="C129" s="90"/>
    </row>
    <row r="130" spans="1:3" ht="19">
      <c r="A130" s="91"/>
      <c r="B130" s="99">
        <f>-NPV(CMPC!C26,'BP¨500 capacité réduite'!B54:L54)</f>
        <v>-2851.5384186011047</v>
      </c>
      <c r="C130" s="90" t="s">
        <v>234</v>
      </c>
    </row>
    <row r="131" spans="1:3" ht="20" thickBot="1">
      <c r="A131" s="93"/>
      <c r="B131" s="94"/>
      <c r="C131" s="95"/>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69374-C125-9C4C-9C1C-AC132736D8C4}">
  <dimension ref="A1:S132"/>
  <sheetViews>
    <sheetView showGridLines="0" zoomScale="130" zoomScaleNormal="130" workbookViewId="0">
      <selection activeCell="A9" sqref="A9"/>
    </sheetView>
  </sheetViews>
  <sheetFormatPr baseColWidth="10" defaultRowHeight="16"/>
  <cols>
    <col min="1" max="1" width="41.1640625" bestFit="1" customWidth="1"/>
    <col min="2" max="12" width="14.83203125" customWidth="1"/>
  </cols>
  <sheetData>
    <row r="1" spans="1:19" ht="20" thickBot="1">
      <c r="A1" s="23"/>
      <c r="B1" s="23"/>
      <c r="C1" s="23"/>
      <c r="D1" s="23"/>
      <c r="E1" s="23"/>
      <c r="F1" s="23"/>
      <c r="G1" s="23"/>
      <c r="H1" s="23"/>
      <c r="I1" s="23"/>
      <c r="J1" s="23"/>
      <c r="K1" s="23"/>
      <c r="L1" s="23"/>
    </row>
    <row r="2" spans="1:19" ht="31" thickTop="1" thickBot="1">
      <c r="A2" s="22" t="s">
        <v>39</v>
      </c>
      <c r="B2" s="23"/>
      <c r="C2" s="23"/>
      <c r="D2" s="23"/>
      <c r="E2" s="23"/>
      <c r="F2" s="24" t="s">
        <v>40</v>
      </c>
      <c r="G2" s="23"/>
      <c r="H2" s="23"/>
      <c r="I2" s="23"/>
      <c r="J2" s="23"/>
      <c r="K2" s="23"/>
      <c r="L2" s="23"/>
    </row>
    <row r="3" spans="1:19" ht="20" thickTop="1">
      <c r="A3" s="23"/>
      <c r="B3" s="23"/>
      <c r="C3" s="23"/>
      <c r="D3" s="23"/>
      <c r="E3" s="23"/>
      <c r="F3" s="23"/>
      <c r="G3" s="23"/>
      <c r="H3" s="23"/>
      <c r="I3" s="23"/>
      <c r="J3" s="23" t="s">
        <v>41</v>
      </c>
      <c r="K3" s="23"/>
      <c r="L3" s="23"/>
    </row>
    <row r="4" spans="1:19" ht="21">
      <c r="A4" s="25"/>
      <c r="B4" s="26"/>
      <c r="C4" s="26"/>
      <c r="D4" s="26"/>
      <c r="E4" s="26"/>
      <c r="F4" s="26"/>
      <c r="G4" s="26"/>
      <c r="H4" s="26"/>
      <c r="I4" s="26"/>
      <c r="J4" s="26"/>
      <c r="K4" s="26"/>
      <c r="L4" s="26"/>
    </row>
    <row r="5" spans="1:19" ht="19">
      <c r="A5" s="26"/>
      <c r="B5" s="201"/>
      <c r="C5" s="26"/>
      <c r="D5" s="26"/>
      <c r="E5" s="26"/>
      <c r="F5" s="26"/>
      <c r="G5" s="26"/>
      <c r="H5" s="26"/>
      <c r="I5" s="26"/>
      <c r="J5" s="26"/>
      <c r="K5" s="26"/>
      <c r="L5" s="26"/>
    </row>
    <row r="6" spans="1:19" ht="19">
      <c r="A6" s="204"/>
      <c r="B6" s="28" t="s">
        <v>219</v>
      </c>
      <c r="C6" s="100">
        <f>'BP¨500 capacité réduite'!C6</f>
        <v>15000</v>
      </c>
      <c r="D6" s="28" t="s">
        <v>43</v>
      </c>
      <c r="E6" s="30"/>
      <c r="F6" s="75">
        <v>2000</v>
      </c>
      <c r="G6" s="28" t="s">
        <v>44</v>
      </c>
      <c r="H6" s="30"/>
      <c r="I6" s="31">
        <v>0.25</v>
      </c>
      <c r="J6" s="23"/>
      <c r="K6" s="26"/>
      <c r="L6" s="26"/>
    </row>
    <row r="7" spans="1:19" s="223" customFormat="1" ht="40">
      <c r="A7" s="208" t="s">
        <v>220</v>
      </c>
      <c r="B7" s="216" t="s">
        <v>219</v>
      </c>
      <c r="C7" s="217">
        <v>20000</v>
      </c>
      <c r="D7" s="216" t="s">
        <v>43</v>
      </c>
      <c r="E7" s="218"/>
      <c r="F7" s="229">
        <v>2000</v>
      </c>
      <c r="G7" s="219" t="s">
        <v>41</v>
      </c>
      <c r="H7" s="219"/>
      <c r="I7" s="220"/>
      <c r="J7" s="221"/>
      <c r="K7" s="219"/>
      <c r="L7" s="222"/>
      <c r="M7"/>
      <c r="N7"/>
      <c r="O7"/>
      <c r="P7"/>
      <c r="Q7"/>
      <c r="R7"/>
      <c r="S7"/>
    </row>
    <row r="8" spans="1:19" ht="19">
      <c r="A8" s="23"/>
      <c r="B8" s="26"/>
      <c r="C8" s="26"/>
      <c r="D8" s="26"/>
      <c r="E8" s="26"/>
      <c r="F8" s="26"/>
      <c r="G8" s="26"/>
      <c r="H8" s="26"/>
      <c r="I8" s="26"/>
      <c r="J8" s="26"/>
      <c r="K8" s="26"/>
      <c r="L8" s="26"/>
    </row>
    <row r="9" spans="1:19" ht="60">
      <c r="A9" s="278" t="s">
        <v>154</v>
      </c>
      <c r="B9" s="26"/>
      <c r="C9" s="26"/>
      <c r="D9" s="26"/>
      <c r="E9" s="26"/>
      <c r="F9" s="26"/>
      <c r="G9" s="26"/>
      <c r="H9" s="26"/>
      <c r="I9" s="26"/>
      <c r="J9" s="26"/>
      <c r="K9" s="26"/>
      <c r="L9" s="26"/>
    </row>
    <row r="10" spans="1:19" ht="19">
      <c r="A10" s="26"/>
      <c r="B10" s="26"/>
      <c r="C10" s="26"/>
      <c r="D10" s="26"/>
      <c r="E10" s="26"/>
      <c r="F10" s="26"/>
      <c r="G10" s="26"/>
      <c r="H10" s="26"/>
      <c r="I10" s="26"/>
      <c r="J10" s="26"/>
      <c r="K10" s="26"/>
      <c r="L10" s="26"/>
    </row>
    <row r="11" spans="1:19" ht="19">
      <c r="A11" s="33" t="s">
        <v>45</v>
      </c>
      <c r="B11" s="33">
        <v>0</v>
      </c>
      <c r="C11" s="33">
        <v>1</v>
      </c>
      <c r="D11" s="33">
        <f>C11+1</f>
        <v>2</v>
      </c>
      <c r="E11" s="33">
        <f t="shared" ref="E11:L11" si="0">D11+1</f>
        <v>3</v>
      </c>
      <c r="F11" s="33">
        <f t="shared" si="0"/>
        <v>4</v>
      </c>
      <c r="G11" s="33">
        <f t="shared" si="0"/>
        <v>5</v>
      </c>
      <c r="H11" s="33">
        <f t="shared" si="0"/>
        <v>6</v>
      </c>
      <c r="I11" s="33">
        <f t="shared" si="0"/>
        <v>7</v>
      </c>
      <c r="J11" s="33">
        <f t="shared" si="0"/>
        <v>8</v>
      </c>
      <c r="K11" s="33">
        <f t="shared" si="0"/>
        <v>9</v>
      </c>
      <c r="L11" s="33">
        <f t="shared" si="0"/>
        <v>10</v>
      </c>
    </row>
    <row r="12" spans="1:19" ht="19">
      <c r="A12" s="33" t="s">
        <v>46</v>
      </c>
      <c r="B12" s="33">
        <v>0</v>
      </c>
      <c r="C12" s="33">
        <f>Situation!F28</f>
        <v>200</v>
      </c>
      <c r="D12" s="33">
        <f>Situation!F29</f>
        <v>500</v>
      </c>
      <c r="E12" s="33">
        <f>Situation!F30</f>
        <v>800</v>
      </c>
      <c r="F12" s="33">
        <f>Situation!F31</f>
        <v>1000</v>
      </c>
      <c r="G12" s="33">
        <f>F12</f>
        <v>1000</v>
      </c>
      <c r="H12" s="33">
        <f t="shared" ref="H12:L12" si="1">G12</f>
        <v>1000</v>
      </c>
      <c r="I12" s="33">
        <f t="shared" si="1"/>
        <v>1000</v>
      </c>
      <c r="J12" s="33">
        <f t="shared" si="1"/>
        <v>1000</v>
      </c>
      <c r="K12" s="33">
        <f t="shared" si="1"/>
        <v>1000</v>
      </c>
      <c r="L12" s="33">
        <f t="shared" si="1"/>
        <v>1000</v>
      </c>
    </row>
    <row r="13" spans="1:19" ht="19">
      <c r="A13" s="26"/>
      <c r="B13" s="26"/>
      <c r="C13" s="26"/>
      <c r="D13" s="26"/>
      <c r="E13" s="26"/>
      <c r="F13" s="26"/>
      <c r="G13" s="26"/>
      <c r="H13" s="26"/>
      <c r="I13" s="26"/>
      <c r="J13" s="26"/>
      <c r="K13" s="26"/>
      <c r="L13" s="26"/>
    </row>
    <row r="14" spans="1:19" ht="19">
      <c r="A14" s="32" t="s">
        <v>47</v>
      </c>
      <c r="B14" s="28" t="s">
        <v>146</v>
      </c>
      <c r="C14" s="30"/>
      <c r="D14" s="75">
        <f>PVU</f>
        <v>52000</v>
      </c>
      <c r="E14" s="28" t="s">
        <v>147</v>
      </c>
      <c r="F14" s="30"/>
      <c r="G14" s="75">
        <f>CRVU</f>
        <v>24538.461538461539</v>
      </c>
      <c r="H14" s="28" t="s">
        <v>48</v>
      </c>
      <c r="I14" s="78">
        <f>CFX</f>
        <v>10000</v>
      </c>
      <c r="J14" s="34" t="s">
        <v>148</v>
      </c>
      <c r="K14" s="26"/>
      <c r="L14" s="26"/>
    </row>
    <row r="15" spans="1:19" ht="19">
      <c r="A15" s="26"/>
      <c r="B15" s="28" t="s">
        <v>49</v>
      </c>
      <c r="C15" s="30"/>
      <c r="D15" s="31">
        <v>0.06</v>
      </c>
      <c r="E15" s="28" t="s">
        <v>50</v>
      </c>
      <c r="F15" s="30"/>
      <c r="G15" s="31">
        <v>0.06</v>
      </c>
      <c r="H15" s="26"/>
      <c r="I15" s="26"/>
      <c r="J15" s="26"/>
      <c r="K15" s="26"/>
      <c r="L15" s="26"/>
    </row>
    <row r="16" spans="1:19" ht="19">
      <c r="A16" s="23"/>
      <c r="B16" s="26"/>
      <c r="C16" s="26"/>
      <c r="D16" s="26"/>
      <c r="E16" s="26"/>
      <c r="F16" s="26"/>
      <c r="G16" s="26"/>
      <c r="H16" s="26"/>
      <c r="I16" s="26"/>
      <c r="J16" s="26"/>
      <c r="K16" s="26"/>
      <c r="L16" s="26"/>
    </row>
    <row r="17" spans="1:19" ht="19">
      <c r="A17" s="32" t="s">
        <v>51</v>
      </c>
      <c r="B17" s="35"/>
      <c r="C17" s="36"/>
      <c r="D17" s="37"/>
      <c r="E17" s="36"/>
      <c r="F17" s="38"/>
      <c r="G17" s="26"/>
      <c r="H17" s="26"/>
      <c r="I17" s="26"/>
      <c r="J17" s="26"/>
      <c r="K17" s="26"/>
      <c r="L17" s="26"/>
    </row>
    <row r="18" spans="1:19" ht="19">
      <c r="A18" s="26"/>
      <c r="B18" s="39" t="s">
        <v>52</v>
      </c>
      <c r="C18" s="23"/>
      <c r="D18" s="40">
        <v>1</v>
      </c>
      <c r="E18" s="23" t="s">
        <v>53</v>
      </c>
      <c r="F18" s="41"/>
      <c r="G18" s="26"/>
      <c r="H18" s="26"/>
      <c r="I18" s="26"/>
      <c r="J18" s="26"/>
      <c r="K18" s="26"/>
      <c r="L18" s="26"/>
    </row>
    <row r="19" spans="1:19" ht="19">
      <c r="A19" s="26"/>
      <c r="B19" s="39" t="s">
        <v>54</v>
      </c>
      <c r="C19" s="23"/>
      <c r="D19" s="40">
        <v>2</v>
      </c>
      <c r="E19" s="23" t="s">
        <v>55</v>
      </c>
      <c r="F19" s="41"/>
      <c r="G19" s="26"/>
      <c r="H19" s="26"/>
      <c r="I19" s="26"/>
      <c r="J19" s="26"/>
      <c r="K19" s="26"/>
      <c r="L19" s="26"/>
    </row>
    <row r="20" spans="1:19" ht="19">
      <c r="A20" s="26"/>
      <c r="B20" s="39" t="s">
        <v>56</v>
      </c>
      <c r="C20" s="23"/>
      <c r="D20" s="23">
        <v>120</v>
      </c>
      <c r="E20" s="23" t="s">
        <v>57</v>
      </c>
      <c r="F20" s="41"/>
      <c r="G20" s="26"/>
      <c r="H20" s="26"/>
      <c r="I20" s="26"/>
      <c r="J20" s="26"/>
      <c r="K20" s="26"/>
      <c r="L20" s="26"/>
    </row>
    <row r="21" spans="1:19" ht="19">
      <c r="A21" s="26"/>
      <c r="B21" s="39" t="s">
        <v>58</v>
      </c>
      <c r="C21" s="23"/>
      <c r="D21" s="23">
        <v>90</v>
      </c>
      <c r="E21" s="23" t="s">
        <v>59</v>
      </c>
      <c r="F21" s="41"/>
      <c r="G21" s="26"/>
      <c r="H21" s="26"/>
      <c r="I21" s="26"/>
      <c r="J21" s="26"/>
      <c r="K21" s="26"/>
      <c r="L21" s="26"/>
    </row>
    <row r="22" spans="1:19" ht="19">
      <c r="A22" s="26"/>
      <c r="B22" s="42"/>
      <c r="C22" s="43"/>
      <c r="D22" s="44"/>
      <c r="E22" s="43"/>
      <c r="F22" s="45"/>
      <c r="G22" s="26"/>
      <c r="H22" s="26"/>
      <c r="I22" s="26"/>
      <c r="J22" s="26"/>
      <c r="K22" s="26"/>
      <c r="L22" s="26"/>
    </row>
    <row r="23" spans="1:19" ht="19">
      <c r="A23" s="26"/>
      <c r="B23" s="23"/>
      <c r="C23" s="23"/>
      <c r="D23" s="46"/>
      <c r="E23" s="23"/>
      <c r="F23" s="23"/>
      <c r="G23" s="26"/>
      <c r="H23" s="26"/>
      <c r="I23" s="26"/>
      <c r="J23" s="26"/>
      <c r="K23" s="26"/>
      <c r="L23" s="26"/>
    </row>
    <row r="24" spans="1:19" ht="19">
      <c r="A24" s="47" t="s">
        <v>31</v>
      </c>
      <c r="B24" s="97">
        <f>CMPC!C34</f>
        <v>0.104162</v>
      </c>
      <c r="C24" s="23"/>
      <c r="D24" s="48" t="s">
        <v>60</v>
      </c>
      <c r="E24" s="49"/>
      <c r="F24" s="98">
        <f>TIS</f>
        <v>0.3</v>
      </c>
      <c r="G24" s="26"/>
      <c r="H24" s="26"/>
      <c r="I24" s="26"/>
      <c r="J24" s="26"/>
      <c r="K24" s="26"/>
      <c r="L24" s="26"/>
    </row>
    <row r="25" spans="1:19" ht="20" thickBot="1">
      <c r="A25" s="23"/>
      <c r="B25" s="23"/>
      <c r="C25" s="23"/>
      <c r="D25" s="23"/>
      <c r="E25" s="23"/>
      <c r="F25" s="23"/>
      <c r="G25" s="23"/>
      <c r="H25" s="23"/>
      <c r="I25" s="23"/>
      <c r="J25" s="23"/>
      <c r="K25" s="23"/>
      <c r="L25" s="23"/>
    </row>
    <row r="26" spans="1:19" ht="23" thickTop="1" thickBot="1">
      <c r="A26" s="22" t="s">
        <v>61</v>
      </c>
      <c r="B26" s="23"/>
      <c r="C26" s="23" t="s">
        <v>41</v>
      </c>
      <c r="D26" s="23"/>
      <c r="E26" s="23"/>
      <c r="F26" s="23"/>
      <c r="G26" s="23"/>
      <c r="H26" s="23"/>
      <c r="I26" s="23"/>
      <c r="J26" s="23"/>
      <c r="K26" s="23"/>
      <c r="L26" s="23"/>
    </row>
    <row r="27" spans="1:19" ht="20" thickTop="1">
      <c r="A27" s="23"/>
      <c r="B27" s="23"/>
      <c r="C27" s="23"/>
      <c r="D27" s="23"/>
      <c r="E27" s="23"/>
      <c r="F27" s="23"/>
      <c r="G27" s="23"/>
      <c r="H27" s="23"/>
      <c r="I27" s="23"/>
      <c r="J27" s="23"/>
      <c r="K27" s="23"/>
      <c r="L27" s="23"/>
    </row>
    <row r="28" spans="1:19" ht="19">
      <c r="A28" s="33" t="s">
        <v>62</v>
      </c>
      <c r="B28" s="33">
        <v>0</v>
      </c>
      <c r="C28" s="33">
        <v>1</v>
      </c>
      <c r="D28" s="33">
        <f>C28+1</f>
        <v>2</v>
      </c>
      <c r="E28" s="33">
        <f t="shared" ref="E28:L28" si="2">D28+1</f>
        <v>3</v>
      </c>
      <c r="F28" s="33">
        <f t="shared" si="2"/>
        <v>4</v>
      </c>
      <c r="G28" s="33">
        <f t="shared" si="2"/>
        <v>5</v>
      </c>
      <c r="H28" s="33">
        <f t="shared" si="2"/>
        <v>6</v>
      </c>
      <c r="I28" s="33">
        <f t="shared" si="2"/>
        <v>7</v>
      </c>
      <c r="J28" s="33">
        <f t="shared" si="2"/>
        <v>8</v>
      </c>
      <c r="K28" s="33">
        <f t="shared" si="2"/>
        <v>9</v>
      </c>
      <c r="L28" s="33">
        <f t="shared" si="2"/>
        <v>10</v>
      </c>
    </row>
    <row r="29" spans="1:19" ht="19">
      <c r="A29" s="50"/>
      <c r="B29" s="50"/>
      <c r="C29" s="50"/>
      <c r="D29" s="50"/>
      <c r="E29" s="50"/>
      <c r="F29" s="50"/>
      <c r="G29" s="50"/>
      <c r="H29" s="50"/>
      <c r="I29" s="50"/>
      <c r="J29" s="50"/>
      <c r="K29" s="51"/>
      <c r="L29" s="51"/>
    </row>
    <row r="30" spans="1:19" ht="19">
      <c r="A30" s="52" t="s">
        <v>46</v>
      </c>
      <c r="B30" s="53">
        <f t="shared" ref="B30:L30" si="3">B12</f>
        <v>0</v>
      </c>
      <c r="C30" s="53">
        <f t="shared" si="3"/>
        <v>200</v>
      </c>
      <c r="D30" s="53">
        <f t="shared" si="3"/>
        <v>500</v>
      </c>
      <c r="E30" s="53">
        <f t="shared" si="3"/>
        <v>800</v>
      </c>
      <c r="F30" s="53">
        <f t="shared" si="3"/>
        <v>1000</v>
      </c>
      <c r="G30" s="53">
        <f t="shared" si="3"/>
        <v>1000</v>
      </c>
      <c r="H30" s="53">
        <f t="shared" si="3"/>
        <v>1000</v>
      </c>
      <c r="I30" s="53">
        <f t="shared" si="3"/>
        <v>1000</v>
      </c>
      <c r="J30" s="53">
        <f t="shared" si="3"/>
        <v>1000</v>
      </c>
      <c r="K30" s="53">
        <f t="shared" si="3"/>
        <v>1000</v>
      </c>
      <c r="L30" s="53">
        <f t="shared" si="3"/>
        <v>1000</v>
      </c>
    </row>
    <row r="31" spans="1:19" s="76" customFormat="1" ht="19">
      <c r="A31" s="58" t="s">
        <v>63</v>
      </c>
      <c r="B31" s="58"/>
      <c r="C31" s="58">
        <f>$D14*((1+$D15)^C28)</f>
        <v>55120</v>
      </c>
      <c r="D31" s="58">
        <f t="shared" ref="D31:L31" si="4">$D14*((1+$D15)^D28)</f>
        <v>58427.200000000012</v>
      </c>
      <c r="E31" s="58">
        <f t="shared" si="4"/>
        <v>61932.832000000017</v>
      </c>
      <c r="F31" s="58">
        <f t="shared" si="4"/>
        <v>65648.801920000013</v>
      </c>
      <c r="G31" s="58">
        <f t="shared" si="4"/>
        <v>69587.730035200031</v>
      </c>
      <c r="H31" s="58">
        <f t="shared" si="4"/>
        <v>73762.993837312024</v>
      </c>
      <c r="I31" s="58">
        <f t="shared" si="4"/>
        <v>78188.773467550767</v>
      </c>
      <c r="J31" s="58">
        <f t="shared" si="4"/>
        <v>82880.099875603803</v>
      </c>
      <c r="K31" s="58">
        <f t="shared" si="4"/>
        <v>87852.905868140035</v>
      </c>
      <c r="L31" s="58">
        <f t="shared" si="4"/>
        <v>93124.080220228439</v>
      </c>
      <c r="M31"/>
      <c r="N31"/>
      <c r="O31"/>
      <c r="P31"/>
      <c r="Q31"/>
      <c r="R31"/>
      <c r="S31"/>
    </row>
    <row r="32" spans="1:19" s="77" customFormat="1" ht="19">
      <c r="A32" s="56" t="s">
        <v>149</v>
      </c>
      <c r="B32" s="56"/>
      <c r="C32" s="60">
        <f>C30*C31/1000</f>
        <v>11024</v>
      </c>
      <c r="D32" s="60">
        <f t="shared" ref="D32:L32" si="5">D30*D31/1000</f>
        <v>29213.600000000006</v>
      </c>
      <c r="E32" s="60">
        <f t="shared" si="5"/>
        <v>49546.265600000013</v>
      </c>
      <c r="F32" s="60">
        <f t="shared" si="5"/>
        <v>65648.801920000013</v>
      </c>
      <c r="G32" s="60">
        <f t="shared" si="5"/>
        <v>69587.730035200031</v>
      </c>
      <c r="H32" s="60">
        <f t="shared" si="5"/>
        <v>73762.993837312024</v>
      </c>
      <c r="I32" s="60">
        <f t="shared" si="5"/>
        <v>78188.773467550767</v>
      </c>
      <c r="J32" s="60">
        <f t="shared" si="5"/>
        <v>82880.099875603788</v>
      </c>
      <c r="K32" s="60">
        <f t="shared" si="5"/>
        <v>87852.905868140035</v>
      </c>
      <c r="L32" s="60">
        <f t="shared" si="5"/>
        <v>93124.080220228439</v>
      </c>
      <c r="M32"/>
      <c r="N32"/>
      <c r="O32"/>
      <c r="P32"/>
      <c r="Q32"/>
      <c r="R32"/>
      <c r="S32"/>
    </row>
    <row r="33" spans="1:19" ht="19">
      <c r="A33" s="55"/>
      <c r="B33" s="55"/>
      <c r="C33" s="60"/>
      <c r="D33" s="60"/>
      <c r="E33" s="60"/>
      <c r="F33" s="60"/>
      <c r="G33" s="60"/>
      <c r="H33" s="60"/>
      <c r="I33" s="60"/>
      <c r="J33" s="60"/>
      <c r="K33" s="60"/>
      <c r="L33" s="60"/>
    </row>
    <row r="34" spans="1:19" ht="19">
      <c r="A34" s="54" t="s">
        <v>64</v>
      </c>
      <c r="B34" s="54"/>
      <c r="C34" s="58">
        <f>$G14*((1+$G15)^C28)</f>
        <v>26010.769230769234</v>
      </c>
      <c r="D34" s="58">
        <f t="shared" ref="D34:L34" si="6">$G14*((1+$G15)^D28)</f>
        <v>27571.415384615389</v>
      </c>
      <c r="E34" s="58">
        <f t="shared" si="6"/>
        <v>29225.700307692317</v>
      </c>
      <c r="F34" s="58">
        <f t="shared" si="6"/>
        <v>30979.242326153853</v>
      </c>
      <c r="G34" s="58">
        <f t="shared" si="6"/>
        <v>32837.996865723093</v>
      </c>
      <c r="H34" s="58">
        <f t="shared" si="6"/>
        <v>34808.276677666479</v>
      </c>
      <c r="I34" s="58">
        <f t="shared" si="6"/>
        <v>36896.773278326473</v>
      </c>
      <c r="J34" s="58">
        <f t="shared" si="6"/>
        <v>39110.579675026056</v>
      </c>
      <c r="K34" s="58">
        <f t="shared" si="6"/>
        <v>41457.214455527617</v>
      </c>
      <c r="L34" s="58">
        <f t="shared" si="6"/>
        <v>43944.64732285928</v>
      </c>
    </row>
    <row r="35" spans="1:19" s="76" customFormat="1" ht="19">
      <c r="A35" s="58" t="s">
        <v>65</v>
      </c>
      <c r="B35" s="58"/>
      <c r="C35" s="58">
        <f>C31-C34</f>
        <v>29109.230769230766</v>
      </c>
      <c r="D35" s="58">
        <f t="shared" ref="D35:L35" si="7">D31-D34</f>
        <v>30855.784615384622</v>
      </c>
      <c r="E35" s="58">
        <f t="shared" si="7"/>
        <v>32707.131692307699</v>
      </c>
      <c r="F35" s="58">
        <f t="shared" si="7"/>
        <v>34669.559593846163</v>
      </c>
      <c r="G35" s="58">
        <f t="shared" si="7"/>
        <v>36749.733169476938</v>
      </c>
      <c r="H35" s="58">
        <f t="shared" si="7"/>
        <v>38954.717159645545</v>
      </c>
      <c r="I35" s="58">
        <f t="shared" si="7"/>
        <v>41292.000189224294</v>
      </c>
      <c r="J35" s="58">
        <f t="shared" si="7"/>
        <v>43769.520200577746</v>
      </c>
      <c r="K35" s="58">
        <f t="shared" si="7"/>
        <v>46395.691412612417</v>
      </c>
      <c r="L35" s="58">
        <f t="shared" si="7"/>
        <v>49179.432897369159</v>
      </c>
      <c r="M35"/>
      <c r="N35"/>
      <c r="O35"/>
      <c r="P35"/>
      <c r="Q35"/>
      <c r="R35"/>
      <c r="S35"/>
    </row>
    <row r="36" spans="1:19" ht="19">
      <c r="A36" s="52"/>
      <c r="B36" s="52"/>
      <c r="C36" s="58"/>
      <c r="D36" s="58"/>
      <c r="E36" s="58"/>
      <c r="F36" s="58"/>
      <c r="G36" s="58"/>
      <c r="H36" s="58"/>
      <c r="I36" s="58"/>
      <c r="J36" s="58"/>
      <c r="K36" s="58"/>
      <c r="L36" s="58"/>
    </row>
    <row r="37" spans="1:19" ht="19">
      <c r="A37" s="57" t="s">
        <v>150</v>
      </c>
      <c r="B37" s="57"/>
      <c r="C37" s="60">
        <f>C30*C35/1000</f>
        <v>5821.8461538461534</v>
      </c>
      <c r="D37" s="60">
        <f t="shared" ref="D37:L37" si="8">D30*D35/1000</f>
        <v>15427.892307692311</v>
      </c>
      <c r="E37" s="60">
        <f t="shared" si="8"/>
        <v>26165.705353846159</v>
      </c>
      <c r="F37" s="60">
        <f t="shared" si="8"/>
        <v>34669.559593846163</v>
      </c>
      <c r="G37" s="60">
        <f t="shared" si="8"/>
        <v>36749.733169476938</v>
      </c>
      <c r="H37" s="60">
        <f t="shared" si="8"/>
        <v>38954.717159645545</v>
      </c>
      <c r="I37" s="60">
        <f t="shared" si="8"/>
        <v>41292.000189224294</v>
      </c>
      <c r="J37" s="60">
        <f t="shared" si="8"/>
        <v>43769.520200577746</v>
      </c>
      <c r="K37" s="60">
        <f t="shared" si="8"/>
        <v>46395.691412612417</v>
      </c>
      <c r="L37" s="60">
        <f t="shared" si="8"/>
        <v>49179.432897369159</v>
      </c>
    </row>
    <row r="38" spans="1:19" ht="19">
      <c r="A38" s="52"/>
      <c r="B38" s="52"/>
      <c r="C38" s="58"/>
      <c r="D38" s="58"/>
      <c r="E38" s="58"/>
      <c r="F38" s="58"/>
      <c r="G38" s="58"/>
      <c r="H38" s="58"/>
      <c r="I38" s="58"/>
      <c r="J38" s="58"/>
      <c r="K38" s="58"/>
      <c r="L38" s="58"/>
    </row>
    <row r="39" spans="1:19" ht="19">
      <c r="A39" s="52" t="s">
        <v>66</v>
      </c>
      <c r="B39" s="52"/>
      <c r="C39" s="58">
        <f>-$I14*((1+$G15)^C28)</f>
        <v>-10600</v>
      </c>
      <c r="D39" s="58">
        <f t="shared" ref="D39:L39" si="9">-$I14*((1+$G15)^D28)</f>
        <v>-11236.000000000002</v>
      </c>
      <c r="E39" s="58">
        <f t="shared" si="9"/>
        <v>-11910.160000000003</v>
      </c>
      <c r="F39" s="58">
        <f t="shared" si="9"/>
        <v>-12624.769600000003</v>
      </c>
      <c r="G39" s="58">
        <f t="shared" si="9"/>
        <v>-13382.255776000005</v>
      </c>
      <c r="H39" s="58">
        <f t="shared" si="9"/>
        <v>-14185.191122560005</v>
      </c>
      <c r="I39" s="58">
        <f t="shared" si="9"/>
        <v>-15036.302589913608</v>
      </c>
      <c r="J39" s="58">
        <f t="shared" si="9"/>
        <v>-15938.480745308423</v>
      </c>
      <c r="K39" s="58">
        <f t="shared" si="9"/>
        <v>-16894.789590026929</v>
      </c>
      <c r="L39" s="58">
        <f t="shared" si="9"/>
        <v>-17908.476965428545</v>
      </c>
    </row>
    <row r="40" spans="1:19" ht="19">
      <c r="A40" s="52"/>
      <c r="B40" s="52"/>
      <c r="C40" s="58"/>
      <c r="D40" s="58"/>
      <c r="E40" s="58"/>
      <c r="F40" s="58"/>
      <c r="G40" s="58"/>
      <c r="H40" s="58"/>
      <c r="I40" s="58"/>
      <c r="J40" s="58"/>
      <c r="K40" s="58"/>
      <c r="L40" s="58"/>
    </row>
    <row r="41" spans="1:19" ht="19">
      <c r="A41" s="57" t="s">
        <v>67</v>
      </c>
      <c r="B41" s="57"/>
      <c r="C41" s="60">
        <f>C37+C39</f>
        <v>-4778.1538461538466</v>
      </c>
      <c r="D41" s="60">
        <f t="shared" ref="D41:L41" si="10">D37+D39</f>
        <v>4191.8923076923093</v>
      </c>
      <c r="E41" s="60">
        <f t="shared" si="10"/>
        <v>14255.545353846155</v>
      </c>
      <c r="F41" s="60">
        <f t="shared" si="10"/>
        <v>22044.78999384616</v>
      </c>
      <c r="G41" s="60">
        <f t="shared" si="10"/>
        <v>23367.477393476933</v>
      </c>
      <c r="H41" s="60">
        <f t="shared" si="10"/>
        <v>24769.526037085539</v>
      </c>
      <c r="I41" s="60">
        <f t="shared" si="10"/>
        <v>26255.697599310686</v>
      </c>
      <c r="J41" s="60">
        <f t="shared" si="10"/>
        <v>27831.039455269325</v>
      </c>
      <c r="K41" s="60">
        <f t="shared" si="10"/>
        <v>29500.901822585489</v>
      </c>
      <c r="L41" s="60">
        <f t="shared" si="10"/>
        <v>31270.955931940614</v>
      </c>
    </row>
    <row r="42" spans="1:19" ht="19">
      <c r="A42" s="52"/>
      <c r="B42" s="52"/>
      <c r="C42" s="58"/>
      <c r="D42" s="58"/>
      <c r="E42" s="58"/>
      <c r="F42" s="58"/>
      <c r="G42" s="58"/>
      <c r="H42" s="58"/>
      <c r="I42" s="58"/>
      <c r="J42" s="58"/>
      <c r="K42" s="58"/>
      <c r="L42" s="58"/>
    </row>
    <row r="43" spans="1:19" ht="19">
      <c r="A43" s="52" t="s">
        <v>160</v>
      </c>
      <c r="B43" s="52"/>
      <c r="C43" s="58">
        <f>-$C6/10</f>
        <v>-1500</v>
      </c>
      <c r="D43" s="202">
        <f t="shared" ref="D43" si="11">-$C6/10</f>
        <v>-1500</v>
      </c>
      <c r="E43" s="202">
        <f>-$C6/10-$C7/8</f>
        <v>-4000</v>
      </c>
      <c r="F43" s="202">
        <f t="shared" ref="F43:L43" si="12">-$C6/10-$C7/8</f>
        <v>-4000</v>
      </c>
      <c r="G43" s="202">
        <f t="shared" si="12"/>
        <v>-4000</v>
      </c>
      <c r="H43" s="202">
        <f t="shared" si="12"/>
        <v>-4000</v>
      </c>
      <c r="I43" s="202">
        <f t="shared" si="12"/>
        <v>-4000</v>
      </c>
      <c r="J43" s="202">
        <f t="shared" si="12"/>
        <v>-4000</v>
      </c>
      <c r="K43" s="202">
        <f t="shared" si="12"/>
        <v>-4000</v>
      </c>
      <c r="L43" s="202">
        <f t="shared" si="12"/>
        <v>-4000</v>
      </c>
    </row>
    <row r="44" spans="1:19" ht="19">
      <c r="A44" s="58"/>
      <c r="B44" s="59"/>
      <c r="C44" s="58"/>
      <c r="D44" s="58"/>
      <c r="E44" s="58"/>
      <c r="F44" s="58"/>
      <c r="G44" s="58"/>
      <c r="H44" s="58"/>
      <c r="I44" s="58"/>
      <c r="J44" s="58"/>
      <c r="K44" s="58"/>
      <c r="L44" s="58"/>
    </row>
    <row r="45" spans="1:19" ht="19">
      <c r="A45" s="60" t="s">
        <v>68</v>
      </c>
      <c r="B45" s="61"/>
      <c r="C45" s="60">
        <f>C41+C43</f>
        <v>-6278.1538461538466</v>
      </c>
      <c r="D45" s="60">
        <f t="shared" ref="D45:L45" si="13">D41+D43</f>
        <v>2691.8923076923093</v>
      </c>
      <c r="E45" s="60">
        <f t="shared" si="13"/>
        <v>10255.545353846155</v>
      </c>
      <c r="F45" s="60">
        <f t="shared" si="13"/>
        <v>18044.78999384616</v>
      </c>
      <c r="G45" s="60">
        <f t="shared" si="13"/>
        <v>19367.477393476933</v>
      </c>
      <c r="H45" s="60">
        <f t="shared" si="13"/>
        <v>20769.526037085539</v>
      </c>
      <c r="I45" s="60">
        <f t="shared" si="13"/>
        <v>22255.697599310686</v>
      </c>
      <c r="J45" s="60">
        <f t="shared" si="13"/>
        <v>23831.039455269325</v>
      </c>
      <c r="K45" s="60">
        <f t="shared" si="13"/>
        <v>25500.901822585489</v>
      </c>
      <c r="L45" s="60">
        <f t="shared" si="13"/>
        <v>27270.955931940614</v>
      </c>
    </row>
    <row r="46" spans="1:19" ht="19">
      <c r="A46" s="60"/>
      <c r="B46" s="61"/>
      <c r="C46" s="60"/>
      <c r="D46" s="60"/>
      <c r="E46" s="60"/>
      <c r="F46" s="60"/>
      <c r="G46" s="60"/>
      <c r="H46" s="60"/>
      <c r="I46" s="60"/>
      <c r="J46" s="60"/>
      <c r="K46" s="60"/>
      <c r="L46" s="60"/>
    </row>
    <row r="47" spans="1:19" ht="19">
      <c r="A47" s="58" t="s">
        <v>133</v>
      </c>
      <c r="B47" s="59"/>
      <c r="C47" s="58">
        <f>-B82*CMPC!$C30</f>
        <v>-240.59487179487169</v>
      </c>
      <c r="D47" s="58">
        <f>-C82*CMPC!$C30</f>
        <v>-373.38227692307674</v>
      </c>
      <c r="E47" s="58">
        <f>-D82*CMPC!$C30</f>
        <v>-458.92034166153837</v>
      </c>
      <c r="F47" s="58">
        <f>-E82*CMPC!$C30</f>
        <v>-801.66945270153815</v>
      </c>
      <c r="G47" s="58">
        <f>-F82*CMPC!$C30</f>
        <v>-758.88961986363097</v>
      </c>
      <c r="H47" s="58">
        <f>-G82*CMPC!$C30</f>
        <v>-717.38299705544887</v>
      </c>
      <c r="I47" s="58">
        <f>-H82*CMPC!$C30</f>
        <v>-677.22597687877578</v>
      </c>
      <c r="J47" s="58">
        <f>-I82*CMPC!$C30</f>
        <v>-638.49953549150189</v>
      </c>
      <c r="K47" s="58">
        <f>-J82*CMPC!$C30</f>
        <v>-601.28950762099237</v>
      </c>
      <c r="L47" s="58">
        <f>-K82*CMPC!$C30</f>
        <v>-565.68687807825211</v>
      </c>
    </row>
    <row r="48" spans="1:19" ht="19">
      <c r="A48" s="58"/>
      <c r="B48" s="59"/>
      <c r="C48" s="58"/>
      <c r="D48" s="58"/>
      <c r="E48" s="58"/>
      <c r="F48" s="58"/>
      <c r="G48" s="58"/>
      <c r="H48" s="58"/>
      <c r="I48" s="58"/>
      <c r="J48" s="58"/>
      <c r="K48" s="58"/>
      <c r="L48" s="58"/>
    </row>
    <row r="49" spans="1:19" ht="19">
      <c r="A49" s="58" t="s">
        <v>134</v>
      </c>
      <c r="B49" s="59"/>
      <c r="C49" s="58">
        <f>C45+C47</f>
        <v>-6518.748717948718</v>
      </c>
      <c r="D49" s="58">
        <f t="shared" ref="D49:L49" si="14">D45+D47</f>
        <v>2318.5100307692323</v>
      </c>
      <c r="E49" s="58">
        <f t="shared" si="14"/>
        <v>9796.6250121846169</v>
      </c>
      <c r="F49" s="58">
        <f t="shared" si="14"/>
        <v>17243.120541144621</v>
      </c>
      <c r="G49" s="58">
        <f t="shared" si="14"/>
        <v>18608.587773613301</v>
      </c>
      <c r="H49" s="58">
        <f t="shared" si="14"/>
        <v>20052.143040030089</v>
      </c>
      <c r="I49" s="58">
        <f t="shared" si="14"/>
        <v>21578.471622431909</v>
      </c>
      <c r="J49" s="58">
        <f t="shared" si="14"/>
        <v>23192.539919777824</v>
      </c>
      <c r="K49" s="58">
        <f t="shared" si="14"/>
        <v>24899.612314964495</v>
      </c>
      <c r="L49" s="58">
        <f t="shared" si="14"/>
        <v>26705.269053862361</v>
      </c>
    </row>
    <row r="50" spans="1:19" ht="19">
      <c r="A50" s="58"/>
      <c r="B50" s="59"/>
      <c r="C50" s="58"/>
      <c r="D50" s="58"/>
      <c r="E50" s="58"/>
      <c r="F50" s="58"/>
      <c r="G50" s="58"/>
      <c r="H50" s="58"/>
      <c r="I50" s="58"/>
      <c r="J50" s="58"/>
      <c r="K50" s="58"/>
      <c r="L50" s="58"/>
    </row>
    <row r="51" spans="1:19" ht="19">
      <c r="A51" s="200" t="s">
        <v>135</v>
      </c>
      <c r="B51" s="203"/>
      <c r="C51" s="202">
        <v>0</v>
      </c>
      <c r="D51" s="202">
        <f>-IF(SUM($C49:D49)&lt;0,0,MIN(SUM($C49:D49)*CMPC!$C20,CMPC!$C20*'Business Plan par étages'!D49))</f>
        <v>0</v>
      </c>
      <c r="E51" s="202">
        <f>-IF(SUM($C49:E49)&lt;0,0,MIN(SUM($C49:E49)*CMPC!$C20,CMPC!$C20*'Business Plan par étages'!E49))</f>
        <v>-1678.9158975015391</v>
      </c>
      <c r="F51" s="202">
        <f>-IF(SUM($C49:F49)&lt;0,0,MIN(SUM($C49:F49)*CMPC!$C20,CMPC!$C20*'Business Plan par étages'!F49))</f>
        <v>-5172.9361623433861</v>
      </c>
      <c r="G51" s="202">
        <f>-IF(SUM($C49:G49)&lt;0,0,MIN(SUM($C49:G49)*CMPC!$C20,CMPC!$C20*'Business Plan par étages'!G49))</f>
        <v>-5582.5763320839897</v>
      </c>
      <c r="H51" s="202">
        <f>-IF(SUM($C49:H49)&lt;0,0,MIN(SUM($C49:H49)*CMPC!$C20,CMPC!$C20*'Business Plan par étages'!H49))</f>
        <v>-6015.6429120090261</v>
      </c>
      <c r="I51" s="202">
        <f>-IF(SUM($C49:I49)&lt;0,0,MIN(SUM($C49:I49)*CMPC!$C20,CMPC!$C20*'Business Plan par étages'!I49))</f>
        <v>-6473.5414867295722</v>
      </c>
      <c r="J51" s="202">
        <f>-IF(SUM($C49:J49)&lt;0,0,MIN(SUM($C49:J49)*CMPC!$C20,CMPC!$C20*'Business Plan par étages'!J49))</f>
        <v>-6957.7619759333475</v>
      </c>
      <c r="K51" s="202">
        <f>-IF(SUM($C49:K49)&lt;0,0,MIN(SUM($C49:K49)*CMPC!$C20,CMPC!$C20*'Business Plan par étages'!K49))</f>
        <v>-7469.8836944893483</v>
      </c>
      <c r="L51" s="202">
        <f>-IF(SUM($C49:L49)&lt;0,0,MIN(SUM($C49:L49)*CMPC!$C20,CMPC!$C20*'Business Plan par étages'!L49))</f>
        <v>-8011.5807161587081</v>
      </c>
    </row>
    <row r="52" spans="1:19" ht="19">
      <c r="A52" s="58"/>
      <c r="B52" s="59"/>
      <c r="C52" s="58"/>
      <c r="D52" s="58"/>
      <c r="E52" s="58"/>
      <c r="F52" s="58"/>
      <c r="G52" s="58"/>
      <c r="H52" s="58"/>
      <c r="I52" s="58"/>
      <c r="J52" s="58"/>
      <c r="K52" s="58"/>
      <c r="L52" s="58"/>
    </row>
    <row r="53" spans="1:19" s="11" customFormat="1" ht="19">
      <c r="A53" s="213" t="s">
        <v>225</v>
      </c>
      <c r="B53" s="61"/>
      <c r="C53" s="60">
        <f>C49+C51</f>
        <v>-6518.748717948718</v>
      </c>
      <c r="D53" s="60">
        <f t="shared" ref="D53:L53" si="15">D49+D51</f>
        <v>2318.5100307692323</v>
      </c>
      <c r="E53" s="60">
        <f t="shared" si="15"/>
        <v>8117.709114683078</v>
      </c>
      <c r="F53" s="60">
        <f t="shared" si="15"/>
        <v>12070.184378801234</v>
      </c>
      <c r="G53" s="60">
        <f t="shared" si="15"/>
        <v>13026.01144152931</v>
      </c>
      <c r="H53" s="60">
        <f t="shared" si="15"/>
        <v>14036.500128021064</v>
      </c>
      <c r="I53" s="60">
        <f t="shared" si="15"/>
        <v>15104.930135702336</v>
      </c>
      <c r="J53" s="60">
        <f t="shared" si="15"/>
        <v>16234.777943844478</v>
      </c>
      <c r="K53" s="60">
        <f t="shared" si="15"/>
        <v>17429.728620475147</v>
      </c>
      <c r="L53" s="60">
        <f t="shared" si="15"/>
        <v>18693.688337703654</v>
      </c>
      <c r="M53"/>
      <c r="N53"/>
      <c r="O53"/>
      <c r="P53"/>
      <c r="Q53"/>
      <c r="R53"/>
      <c r="S53"/>
    </row>
    <row r="54" spans="1:19" ht="19">
      <c r="A54" s="58"/>
      <c r="B54" s="59"/>
      <c r="C54" s="58"/>
      <c r="D54" s="58"/>
      <c r="E54" s="58"/>
      <c r="F54" s="58"/>
      <c r="G54" s="58"/>
      <c r="H54" s="58"/>
      <c r="I54" s="58"/>
      <c r="J54" s="58"/>
      <c r="K54" s="58"/>
      <c r="L54" s="58"/>
    </row>
    <row r="55" spans="1:19" s="79" customFormat="1" ht="19">
      <c r="A55" s="60" t="s">
        <v>226</v>
      </c>
      <c r="B55" s="60">
        <f>B77</f>
        <v>12530.982905982906</v>
      </c>
      <c r="C55" s="60">
        <f t="shared" ref="C55:K55" si="16">C77-B77</f>
        <v>13434.759401709405</v>
      </c>
      <c r="D55" s="60">
        <f t="shared" si="16"/>
        <v>2136.5975076923096</v>
      </c>
      <c r="E55" s="60">
        <f t="shared" si="16"/>
        <v>9733.8070853169265</v>
      </c>
      <c r="F55" s="60">
        <f t="shared" si="16"/>
        <v>-14298.300672442259</v>
      </c>
      <c r="G55" s="60">
        <f t="shared" si="16"/>
        <v>-15187.814712788804</v>
      </c>
      <c r="H55" s="60">
        <f t="shared" si="16"/>
        <v>-16128.011595556116</v>
      </c>
      <c r="I55" s="60">
        <f t="shared" si="16"/>
        <v>-17121.9322912895</v>
      </c>
      <c r="J55" s="60">
        <f t="shared" si="16"/>
        <v>-18172.800228766871</v>
      </c>
      <c r="K55" s="60">
        <f t="shared" si="16"/>
        <v>-19284.032242492867</v>
      </c>
      <c r="L55" s="60">
        <f>-(L116+L47*(1-TIS)-K82)</f>
        <v>-51156.546570945953</v>
      </c>
      <c r="M55"/>
      <c r="N55"/>
      <c r="O55"/>
      <c r="P55"/>
      <c r="Q55"/>
      <c r="R55"/>
      <c r="S55"/>
    </row>
    <row r="56" spans="1:19" s="79" customFormat="1" ht="19">
      <c r="A56" s="60"/>
      <c r="B56" s="60"/>
      <c r="C56" s="60"/>
      <c r="D56" s="60"/>
      <c r="E56" s="60"/>
      <c r="F56" s="60"/>
      <c r="G56" s="60"/>
      <c r="H56" s="60"/>
      <c r="I56" s="60"/>
      <c r="J56" s="60"/>
      <c r="K56" s="60"/>
      <c r="L56" s="60"/>
      <c r="M56"/>
      <c r="N56"/>
      <c r="O56"/>
      <c r="P56"/>
      <c r="Q56"/>
      <c r="R56"/>
      <c r="S56"/>
    </row>
    <row r="57" spans="1:19" s="79" customFormat="1" ht="19">
      <c r="A57" s="60" t="s">
        <v>260</v>
      </c>
      <c r="B57" s="56">
        <f>Situation!D45</f>
        <v>8</v>
      </c>
      <c r="C57" s="56">
        <f t="shared" ref="C57:L57" si="17">B57*(1+INFI)/(1+INFM)</f>
        <v>8.3546798029556655</v>
      </c>
      <c r="D57" s="56">
        <f t="shared" si="17"/>
        <v>8.7250843262394149</v>
      </c>
      <c r="E57" s="56">
        <f t="shared" si="17"/>
        <v>9.1119107249396851</v>
      </c>
      <c r="F57" s="56">
        <f t="shared" si="17"/>
        <v>9.5158870624985887</v>
      </c>
      <c r="G57" s="56">
        <f t="shared" si="17"/>
        <v>9.9377736810330095</v>
      </c>
      <c r="H57" s="56">
        <f t="shared" si="17"/>
        <v>10.378364632408859</v>
      </c>
      <c r="I57" s="56">
        <f t="shared" si="17"/>
        <v>10.838489172761962</v>
      </c>
      <c r="J57" s="56">
        <f t="shared" si="17"/>
        <v>11.319013323278504</v>
      </c>
      <c r="K57" s="56">
        <f t="shared" si="17"/>
        <v>11.820841500172627</v>
      </c>
      <c r="L57" s="56">
        <f t="shared" si="17"/>
        <v>12.344918216929051</v>
      </c>
      <c r="M57"/>
      <c r="N57"/>
      <c r="O57"/>
      <c r="P57"/>
      <c r="Q57"/>
      <c r="R57"/>
      <c r="S57"/>
    </row>
    <row r="58" spans="1:19" s="79" customFormat="1" ht="19">
      <c r="A58" s="60"/>
      <c r="B58" s="60"/>
      <c r="C58" s="60"/>
      <c r="D58" s="60"/>
      <c r="E58" s="60"/>
      <c r="F58" s="60"/>
      <c r="G58" s="60"/>
      <c r="H58" s="60"/>
      <c r="I58" s="60"/>
      <c r="J58" s="60"/>
      <c r="K58" s="60"/>
      <c r="L58" s="60"/>
      <c r="M58"/>
      <c r="N58"/>
      <c r="O58"/>
      <c r="P58"/>
      <c r="Q58"/>
      <c r="R58"/>
      <c r="S58"/>
    </row>
    <row r="59" spans="1:19" s="79" customFormat="1" ht="19">
      <c r="A59" s="60" t="s">
        <v>263</v>
      </c>
      <c r="B59" s="60">
        <f>B55/B57</f>
        <v>1566.3728632478633</v>
      </c>
      <c r="C59" s="60">
        <f t="shared" ref="C59:L59" si="18">C55/C57</f>
        <v>1608.0519802753593</v>
      </c>
      <c r="D59" s="60">
        <f t="shared" si="18"/>
        <v>244.87986909958053</v>
      </c>
      <c r="E59" s="60">
        <f t="shared" si="18"/>
        <v>1068.250927730787</v>
      </c>
      <c r="F59" s="60">
        <f t="shared" si="18"/>
        <v>-1502.5714973847064</v>
      </c>
      <c r="G59" s="60">
        <f t="shared" si="18"/>
        <v>-1528.2914665058124</v>
      </c>
      <c r="H59" s="60">
        <f t="shared" si="18"/>
        <v>-1554.0031755285072</v>
      </c>
      <c r="I59" s="60">
        <f t="shared" si="18"/>
        <v>-1579.734224795681</v>
      </c>
      <c r="J59" s="60">
        <f t="shared" si="18"/>
        <v>-1605.5109849012172</v>
      </c>
      <c r="K59" s="60">
        <f t="shared" si="18"/>
        <v>-1631.3586678419849</v>
      </c>
      <c r="L59" s="60">
        <f t="shared" si="18"/>
        <v>-4143.9356399131957</v>
      </c>
      <c r="M59"/>
      <c r="N59"/>
      <c r="O59"/>
      <c r="P59"/>
      <c r="Q59"/>
      <c r="R59"/>
      <c r="S59"/>
    </row>
    <row r="60" spans="1:19" ht="19">
      <c r="A60" s="62"/>
      <c r="B60" s="63"/>
      <c r="C60" s="62"/>
      <c r="D60" s="62"/>
      <c r="E60" s="62"/>
      <c r="F60" s="62"/>
      <c r="G60" s="62"/>
      <c r="H60" s="62"/>
      <c r="I60" s="62"/>
      <c r="J60" s="62"/>
      <c r="K60" s="62"/>
      <c r="L60" s="62"/>
    </row>
    <row r="61" spans="1:19" ht="19">
      <c r="A61" s="64"/>
      <c r="B61" s="65"/>
      <c r="C61" s="64"/>
      <c r="D61" s="64"/>
      <c r="E61" s="64"/>
      <c r="F61" s="64"/>
      <c r="G61" s="64"/>
      <c r="H61" s="64"/>
      <c r="I61" s="64"/>
      <c r="J61" s="64"/>
      <c r="K61" s="64"/>
      <c r="L61" s="64"/>
    </row>
    <row r="62" spans="1:19" ht="19">
      <c r="A62" s="58" t="s">
        <v>69</v>
      </c>
      <c r="B62" s="58">
        <f>C6</f>
        <v>15000</v>
      </c>
      <c r="C62" s="58">
        <f>B62</f>
        <v>15000</v>
      </c>
      <c r="D62" s="58">
        <f t="shared" ref="D62:K62" si="19">C62</f>
        <v>15000</v>
      </c>
      <c r="E62" s="58">
        <f>D62+C7</f>
        <v>35000</v>
      </c>
      <c r="F62" s="58">
        <f t="shared" si="19"/>
        <v>35000</v>
      </c>
      <c r="G62" s="58">
        <f t="shared" si="19"/>
        <v>35000</v>
      </c>
      <c r="H62" s="58">
        <f t="shared" si="19"/>
        <v>35000</v>
      </c>
      <c r="I62" s="58">
        <f t="shared" si="19"/>
        <v>35000</v>
      </c>
      <c r="J62" s="58">
        <f t="shared" si="19"/>
        <v>35000</v>
      </c>
      <c r="K62" s="58">
        <f t="shared" si="19"/>
        <v>35000</v>
      </c>
      <c r="L62" s="58">
        <v>0</v>
      </c>
    </row>
    <row r="63" spans="1:19" ht="19">
      <c r="A63" s="58" t="s">
        <v>70</v>
      </c>
      <c r="B63" s="58"/>
      <c r="C63" s="58">
        <f>C43</f>
        <v>-1500</v>
      </c>
      <c r="D63" s="58">
        <f t="shared" ref="D63:K63" si="20">C63+D43</f>
        <v>-3000</v>
      </c>
      <c r="E63" s="58">
        <f>D63+E43</f>
        <v>-7000</v>
      </c>
      <c r="F63" s="58">
        <f t="shared" si="20"/>
        <v>-11000</v>
      </c>
      <c r="G63" s="58">
        <f t="shared" si="20"/>
        <v>-15000</v>
      </c>
      <c r="H63" s="58">
        <f t="shared" si="20"/>
        <v>-19000</v>
      </c>
      <c r="I63" s="58">
        <f t="shared" si="20"/>
        <v>-23000</v>
      </c>
      <c r="J63" s="58">
        <f t="shared" si="20"/>
        <v>-27000</v>
      </c>
      <c r="K63" s="58">
        <f t="shared" si="20"/>
        <v>-31000</v>
      </c>
      <c r="L63" s="58">
        <v>0</v>
      </c>
    </row>
    <row r="64" spans="1:19" ht="19">
      <c r="A64" s="58"/>
      <c r="B64" s="58"/>
      <c r="C64" s="58"/>
      <c r="D64" s="58"/>
      <c r="E64" s="58"/>
      <c r="F64" s="58"/>
      <c r="G64" s="58"/>
      <c r="H64" s="58"/>
      <c r="I64" s="58"/>
      <c r="J64" s="58"/>
      <c r="K64" s="58"/>
      <c r="L64" s="58"/>
    </row>
    <row r="65" spans="1:12" ht="19">
      <c r="A65" s="60" t="s">
        <v>227</v>
      </c>
      <c r="B65" s="60">
        <f>B62+B63</f>
        <v>15000</v>
      </c>
      <c r="C65" s="60">
        <f>C62+C63</f>
        <v>13500</v>
      </c>
      <c r="D65" s="60">
        <f t="shared" ref="D65:L65" si="21">D62+D63</f>
        <v>12000</v>
      </c>
      <c r="E65" s="60">
        <f t="shared" si="21"/>
        <v>28000</v>
      </c>
      <c r="F65" s="60">
        <f t="shared" si="21"/>
        <v>24000</v>
      </c>
      <c r="G65" s="60">
        <f t="shared" si="21"/>
        <v>20000</v>
      </c>
      <c r="H65" s="60">
        <f t="shared" si="21"/>
        <v>16000</v>
      </c>
      <c r="I65" s="60">
        <f t="shared" si="21"/>
        <v>12000</v>
      </c>
      <c r="J65" s="60">
        <f t="shared" si="21"/>
        <v>8000</v>
      </c>
      <c r="K65" s="60">
        <f t="shared" si="21"/>
        <v>4000</v>
      </c>
      <c r="L65" s="60">
        <f t="shared" si="21"/>
        <v>0</v>
      </c>
    </row>
    <row r="66" spans="1:12" ht="19">
      <c r="A66" s="58"/>
      <c r="B66" s="58"/>
      <c r="C66" s="58"/>
      <c r="D66" s="58"/>
      <c r="E66" s="58"/>
      <c r="F66" s="58"/>
      <c r="G66" s="58"/>
      <c r="H66" s="58"/>
      <c r="I66" s="58"/>
      <c r="J66" s="58"/>
      <c r="K66" s="58"/>
      <c r="L66" s="58"/>
    </row>
    <row r="67" spans="1:12" ht="19">
      <c r="A67" s="54" t="s">
        <v>54</v>
      </c>
      <c r="B67" s="58">
        <f>$D19*'Calcul des coûts'!$C$13*C30*((1+$G15)^B28)/12000</f>
        <v>743.58974358974365</v>
      </c>
      <c r="C67" s="58">
        <f>$D19*'Calcul des coûts'!$C$13*D30*((1+$G15)^C28)/12000</f>
        <v>1970.5128205128206</v>
      </c>
      <c r="D67" s="58">
        <f>$D19*'Calcul des coûts'!$C$13*E30*((1+$G15)^D28)/12000</f>
        <v>3341.9897435897446</v>
      </c>
      <c r="E67" s="58">
        <f>$D19*'Calcul des coûts'!$C$13*F30*((1+$G15)^E28)/12000</f>
        <v>4428.1364102564112</v>
      </c>
      <c r="F67" s="58">
        <f>$D19*'Calcul des coûts'!$C$13*G30*((1+$G15)^F28)/12000</f>
        <v>4693.8245948717959</v>
      </c>
      <c r="G67" s="58">
        <f>$D19*'Calcul des coûts'!$C$13*H30*((1+$G15)^G28)/12000</f>
        <v>4975.4540705641039</v>
      </c>
      <c r="H67" s="58">
        <f>$D19*'Calcul des coûts'!$C$13*I30*((1+$G15)^H28)/12000</f>
        <v>5273.9813147979512</v>
      </c>
      <c r="I67" s="58">
        <f>$D19*'Calcul des coûts'!$C$13*J30*((1+$G15)^I28)/12000</f>
        <v>5590.420193685829</v>
      </c>
      <c r="J67" s="58">
        <f>$D19*'Calcul des coûts'!$C$13*K30*((1+$G15)^J28)/12000</f>
        <v>5925.8454053069772</v>
      </c>
      <c r="K67" s="58">
        <f>$D19*'Calcul des coûts'!$C$13*L30*((1+$G15)^K28)/12000</f>
        <v>6281.3961296253965</v>
      </c>
      <c r="L67" s="58">
        <v>0</v>
      </c>
    </row>
    <row r="68" spans="1:12" ht="19">
      <c r="A68" s="54" t="s">
        <v>52</v>
      </c>
      <c r="B68" s="58">
        <f t="shared" ref="B68:K68" si="22">$D18*CRVU*C30*((1+$G15)^B28)/12000</f>
        <v>408.97435897435901</v>
      </c>
      <c r="C68" s="58">
        <f t="shared" si="22"/>
        <v>1083.7820512820513</v>
      </c>
      <c r="D68" s="58">
        <f t="shared" si="22"/>
        <v>1838.0943589743592</v>
      </c>
      <c r="E68" s="58">
        <f t="shared" si="22"/>
        <v>2435.4750256410261</v>
      </c>
      <c r="F68" s="58">
        <f t="shared" si="22"/>
        <v>2581.6035271794881</v>
      </c>
      <c r="G68" s="58">
        <f t="shared" si="22"/>
        <v>2736.4997388102579</v>
      </c>
      <c r="H68" s="58">
        <f t="shared" si="22"/>
        <v>2900.689723138873</v>
      </c>
      <c r="I68" s="58">
        <f t="shared" si="22"/>
        <v>3074.7311065272061</v>
      </c>
      <c r="J68" s="58">
        <f t="shared" si="22"/>
        <v>3259.2149729188382</v>
      </c>
      <c r="K68" s="58">
        <f t="shared" si="22"/>
        <v>3454.7678712939683</v>
      </c>
      <c r="L68" s="58">
        <v>0</v>
      </c>
    </row>
    <row r="69" spans="1:12" ht="19">
      <c r="A69" s="54" t="s">
        <v>71</v>
      </c>
      <c r="B69" s="58"/>
      <c r="C69" s="58">
        <f t="shared" ref="C69:K69" si="23">$D20*D32/360</f>
        <v>9737.8666666666686</v>
      </c>
      <c r="D69" s="58">
        <f t="shared" si="23"/>
        <v>16515.421866666671</v>
      </c>
      <c r="E69" s="58">
        <f t="shared" si="23"/>
        <v>21882.933973333336</v>
      </c>
      <c r="F69" s="58">
        <f t="shared" si="23"/>
        <v>23195.910011733344</v>
      </c>
      <c r="G69" s="58">
        <f t="shared" si="23"/>
        <v>24587.66461243734</v>
      </c>
      <c r="H69" s="58">
        <f t="shared" si="23"/>
        <v>26062.924489183588</v>
      </c>
      <c r="I69" s="58">
        <f t="shared" si="23"/>
        <v>27626.699958534595</v>
      </c>
      <c r="J69" s="58">
        <f t="shared" si="23"/>
        <v>29284.301956046678</v>
      </c>
      <c r="K69" s="58">
        <f t="shared" si="23"/>
        <v>31041.360073409476</v>
      </c>
      <c r="L69" s="58">
        <v>0</v>
      </c>
    </row>
    <row r="70" spans="1:12" ht="19">
      <c r="A70" s="54" t="s">
        <v>72</v>
      </c>
      <c r="B70" s="58">
        <f>$D21*C30*'Calcul des coûts'!$C$13*((1+$G15)^B28)/360000</f>
        <v>1115.3846153846155</v>
      </c>
      <c r="C70" s="58">
        <f>$D21*D30*'Calcul des coûts'!$C$13*((1+$G15)^C28)/360000</f>
        <v>2955.7692307692309</v>
      </c>
      <c r="D70" s="58">
        <f>$D21*E30*'Calcul des coûts'!$C$13*((1+$G15)^D28)/360000</f>
        <v>5012.9846153846165</v>
      </c>
      <c r="E70" s="58">
        <f>$D21*F30*'Calcul des coûts'!$C$13*((1+$G15)^E28)/360000</f>
        <v>6642.2046153846168</v>
      </c>
      <c r="F70" s="58">
        <f>$D21*G30*'Calcul des coûts'!$C$13*((1+$G15)^F28)/360000</f>
        <v>7040.7368923076947</v>
      </c>
      <c r="G70" s="58">
        <f>$D21*H30*'Calcul des coûts'!$C$13*((1+$G15)^G28)/360000</f>
        <v>7463.1811058461562</v>
      </c>
      <c r="H70" s="58">
        <f>$D21*I30*'Calcul des coûts'!$C$13*((1+$G15)^H28)/360000</f>
        <v>7910.9719721969259</v>
      </c>
      <c r="I70" s="58">
        <f>$D21*J30*'Calcul des coûts'!$C$13*((1+$G15)^I28)/360000</f>
        <v>8385.630290528743</v>
      </c>
      <c r="J70" s="58">
        <f>$D21*K30*'Calcul des coûts'!$C$13*((1+$G15)^J28)/360000</f>
        <v>8888.7681079604663</v>
      </c>
      <c r="K70" s="58">
        <f>$D21*L30*'Calcul des coûts'!$C$13*((1+$G15)^K28)/360000</f>
        <v>9422.0941944380938</v>
      </c>
      <c r="L70" s="58">
        <v>0</v>
      </c>
    </row>
    <row r="71" spans="1:12" ht="19">
      <c r="A71" s="54"/>
      <c r="B71" s="58"/>
      <c r="C71" s="58"/>
      <c r="D71" s="58"/>
      <c r="E71" s="58"/>
      <c r="F71" s="58"/>
      <c r="G71" s="58"/>
      <c r="H71" s="58"/>
      <c r="I71" s="58"/>
      <c r="J71" s="58"/>
      <c r="K71" s="58"/>
      <c r="L71" s="58"/>
    </row>
    <row r="72" spans="1:12" ht="19">
      <c r="A72" s="56" t="s">
        <v>228</v>
      </c>
      <c r="B72" s="60">
        <f>B67+B68+B69-B70</f>
        <v>37.179487179487069</v>
      </c>
      <c r="C72" s="60">
        <f t="shared" ref="C72:L72" si="24">C67+C68+C69-C70</f>
        <v>9836.3923076923093</v>
      </c>
      <c r="D72" s="60">
        <f t="shared" si="24"/>
        <v>16682.521353846161</v>
      </c>
      <c r="E72" s="60">
        <f t="shared" si="24"/>
        <v>22104.340793846157</v>
      </c>
      <c r="F72" s="60">
        <f t="shared" si="24"/>
        <v>23430.601241476936</v>
      </c>
      <c r="G72" s="60">
        <f t="shared" si="24"/>
        <v>24836.437315965544</v>
      </c>
      <c r="H72" s="60">
        <f t="shared" si="24"/>
        <v>26326.623554923488</v>
      </c>
      <c r="I72" s="60">
        <f t="shared" si="24"/>
        <v>27906.220968218884</v>
      </c>
      <c r="J72" s="60">
        <f t="shared" si="24"/>
        <v>29580.594226312023</v>
      </c>
      <c r="K72" s="60">
        <f t="shared" si="24"/>
        <v>31355.429879890751</v>
      </c>
      <c r="L72" s="60">
        <f t="shared" si="24"/>
        <v>0</v>
      </c>
    </row>
    <row r="73" spans="1:12" ht="19">
      <c r="A73" s="56"/>
      <c r="B73" s="60"/>
      <c r="C73" s="60"/>
      <c r="D73" s="60"/>
      <c r="E73" s="60"/>
      <c r="F73" s="60"/>
      <c r="G73" s="60"/>
      <c r="H73" s="60"/>
      <c r="I73" s="60"/>
      <c r="J73" s="60"/>
      <c r="K73" s="60"/>
      <c r="L73" s="60"/>
    </row>
    <row r="74" spans="1:12" ht="19">
      <c r="A74" s="56" t="s">
        <v>229</v>
      </c>
      <c r="B74" s="60">
        <f>B65+B72</f>
        <v>15037.179487179486</v>
      </c>
      <c r="C74" s="60">
        <f t="shared" ref="C74:L74" si="25">C65+C72</f>
        <v>23336.392307692309</v>
      </c>
      <c r="D74" s="60">
        <f t="shared" si="25"/>
        <v>28682.521353846161</v>
      </c>
      <c r="E74" s="60">
        <f t="shared" si="25"/>
        <v>50104.340793846161</v>
      </c>
      <c r="F74" s="60">
        <f t="shared" si="25"/>
        <v>47430.601241476936</v>
      </c>
      <c r="G74" s="60">
        <f t="shared" si="25"/>
        <v>44836.437315965544</v>
      </c>
      <c r="H74" s="60">
        <f t="shared" si="25"/>
        <v>42326.623554923484</v>
      </c>
      <c r="I74" s="60">
        <f t="shared" si="25"/>
        <v>39906.220968218884</v>
      </c>
      <c r="J74" s="60">
        <f t="shared" si="25"/>
        <v>37580.594226312023</v>
      </c>
      <c r="K74" s="60">
        <f t="shared" si="25"/>
        <v>35355.429879890755</v>
      </c>
      <c r="L74" s="60">
        <f t="shared" si="25"/>
        <v>0</v>
      </c>
    </row>
    <row r="75" spans="1:12" ht="19">
      <c r="A75" s="62"/>
      <c r="B75" s="63"/>
      <c r="C75" s="62"/>
      <c r="D75" s="62"/>
      <c r="E75" s="62"/>
      <c r="F75" s="62"/>
      <c r="G75" s="62"/>
      <c r="H75" s="62"/>
      <c r="I75" s="62"/>
      <c r="J75" s="62"/>
      <c r="K75" s="62"/>
      <c r="L75" s="62"/>
    </row>
    <row r="76" spans="1:12" ht="19">
      <c r="A76" s="58"/>
      <c r="B76" s="59"/>
      <c r="C76" s="58"/>
      <c r="D76" s="58"/>
      <c r="E76" s="58"/>
      <c r="F76" s="58"/>
      <c r="G76" s="58"/>
      <c r="H76" s="58"/>
      <c r="I76" s="58"/>
      <c r="J76" s="58"/>
      <c r="K76" s="58"/>
      <c r="L76" s="58"/>
    </row>
    <row r="77" spans="1:12" ht="19">
      <c r="A77" s="58" t="s">
        <v>131</v>
      </c>
      <c r="B77" s="58">
        <f>CMPC!C16*'Business Plan par étages'!B74</f>
        <v>12530.982905982906</v>
      </c>
      <c r="C77" s="58">
        <f>C80-C78</f>
        <v>25965.742307692311</v>
      </c>
      <c r="D77" s="58">
        <f t="shared" ref="D77:K77" si="26">D80-D78</f>
        <v>28102.339815384621</v>
      </c>
      <c r="E77" s="58">
        <f t="shared" si="26"/>
        <v>37836.146900701548</v>
      </c>
      <c r="F77" s="58">
        <f t="shared" si="26"/>
        <v>23537.846228259288</v>
      </c>
      <c r="G77" s="58">
        <f t="shared" si="26"/>
        <v>8350.031515470484</v>
      </c>
      <c r="H77" s="58">
        <f t="shared" si="26"/>
        <v>-7777.9800800856319</v>
      </c>
      <c r="I77" s="58">
        <f t="shared" si="26"/>
        <v>-24899.912371375132</v>
      </c>
      <c r="J77" s="58">
        <f t="shared" si="26"/>
        <v>-43072.712600142004</v>
      </c>
      <c r="K77" s="58">
        <f t="shared" si="26"/>
        <v>-62356.744842634871</v>
      </c>
      <c r="L77" s="58"/>
    </row>
    <row r="78" spans="1:12" ht="19">
      <c r="A78" s="58" t="s">
        <v>132</v>
      </c>
      <c r="B78" s="58">
        <v>0</v>
      </c>
      <c r="C78" s="58">
        <f t="shared" ref="C78:K78" si="27">B78+C53</f>
        <v>-6518.748717948718</v>
      </c>
      <c r="D78" s="58">
        <f>C78+D53</f>
        <v>-4200.2386871794861</v>
      </c>
      <c r="E78" s="58">
        <f t="shared" si="27"/>
        <v>3917.470427503592</v>
      </c>
      <c r="F78" s="58">
        <f t="shared" si="27"/>
        <v>15987.654806304825</v>
      </c>
      <c r="G78" s="58">
        <f t="shared" si="27"/>
        <v>29013.666247834135</v>
      </c>
      <c r="H78" s="58">
        <f t="shared" si="27"/>
        <v>43050.166375855202</v>
      </c>
      <c r="I78" s="58">
        <f t="shared" si="27"/>
        <v>58155.096511557538</v>
      </c>
      <c r="J78" s="58">
        <f t="shared" si="27"/>
        <v>74389.874455402023</v>
      </c>
      <c r="K78" s="58">
        <f t="shared" si="27"/>
        <v>91819.603075877167</v>
      </c>
      <c r="L78" s="58"/>
    </row>
    <row r="79" spans="1:12" ht="19">
      <c r="A79" s="58"/>
      <c r="B79" s="58"/>
      <c r="C79" s="58"/>
      <c r="D79" s="58"/>
      <c r="E79" s="58"/>
      <c r="F79" s="58"/>
      <c r="G79" s="58"/>
      <c r="H79" s="58"/>
      <c r="I79" s="58"/>
      <c r="J79" s="58"/>
      <c r="K79" s="58"/>
      <c r="L79" s="58"/>
    </row>
    <row r="80" spans="1:12" ht="19">
      <c r="A80" s="60" t="s">
        <v>230</v>
      </c>
      <c r="B80" s="60">
        <f>B77+B78</f>
        <v>12530.982905982906</v>
      </c>
      <c r="C80" s="60">
        <f>C74*CMPC!$C16</f>
        <v>19446.993589743593</v>
      </c>
      <c r="D80" s="60">
        <f>D74*CMPC!$C16</f>
        <v>23902.101128205137</v>
      </c>
      <c r="E80" s="60">
        <f>E74*CMPC!$C16</f>
        <v>41753.617328205139</v>
      </c>
      <c r="F80" s="60">
        <f>F74*CMPC!$C16</f>
        <v>39525.501034564113</v>
      </c>
      <c r="G80" s="60">
        <f>G74*CMPC!$C16</f>
        <v>37363.697763304619</v>
      </c>
      <c r="H80" s="60">
        <f>H74*CMPC!$C16</f>
        <v>35272.18629576957</v>
      </c>
      <c r="I80" s="60">
        <f>I74*CMPC!$C16</f>
        <v>33255.184140182406</v>
      </c>
      <c r="J80" s="60">
        <f>J74*CMPC!$C16</f>
        <v>31317.161855260019</v>
      </c>
      <c r="K80" s="60">
        <f>K74*CMPC!$C16</f>
        <v>29462.858233242296</v>
      </c>
      <c r="L80" s="60">
        <f>L74*CMPC!$C16</f>
        <v>0</v>
      </c>
    </row>
    <row r="81" spans="1:12" ht="19">
      <c r="A81" s="60"/>
      <c r="B81" s="60"/>
      <c r="C81" s="60"/>
      <c r="D81" s="60"/>
      <c r="E81" s="60"/>
      <c r="F81" s="60"/>
      <c r="G81" s="60"/>
      <c r="H81" s="60"/>
      <c r="I81" s="60"/>
      <c r="J81" s="60"/>
      <c r="K81" s="60"/>
      <c r="L81" s="60"/>
    </row>
    <row r="82" spans="1:12" ht="19">
      <c r="A82" s="60" t="s">
        <v>231</v>
      </c>
      <c r="B82" s="60">
        <f>B84-B80</f>
        <v>2506.1965811965802</v>
      </c>
      <c r="C82" s="60">
        <f t="shared" ref="C82:L82" si="28">C84-C80</f>
        <v>3889.3987179487158</v>
      </c>
      <c r="D82" s="60">
        <f t="shared" si="28"/>
        <v>4780.4202256410244</v>
      </c>
      <c r="E82" s="60">
        <f t="shared" si="28"/>
        <v>8350.7234656410219</v>
      </c>
      <c r="F82" s="60">
        <f t="shared" si="28"/>
        <v>7905.1002069128226</v>
      </c>
      <c r="G82" s="60">
        <f t="shared" si="28"/>
        <v>7472.7395526609253</v>
      </c>
      <c r="H82" s="60">
        <f t="shared" si="28"/>
        <v>7054.4372591539141</v>
      </c>
      <c r="I82" s="60">
        <f t="shared" si="28"/>
        <v>6651.0368280364783</v>
      </c>
      <c r="J82" s="60">
        <f t="shared" si="28"/>
        <v>6263.4323710520039</v>
      </c>
      <c r="K82" s="60">
        <f t="shared" si="28"/>
        <v>5892.5716466484591</v>
      </c>
      <c r="L82" s="60">
        <f t="shared" si="28"/>
        <v>0</v>
      </c>
    </row>
    <row r="83" spans="1:12" ht="19">
      <c r="A83" s="60"/>
      <c r="B83" s="60"/>
      <c r="C83" s="60"/>
      <c r="D83" s="60"/>
      <c r="E83" s="60"/>
      <c r="F83" s="60"/>
      <c r="G83" s="60"/>
      <c r="H83" s="60"/>
      <c r="I83" s="60"/>
      <c r="J83" s="60"/>
      <c r="K83" s="60"/>
      <c r="L83" s="60"/>
    </row>
    <row r="84" spans="1:12" ht="19">
      <c r="A84" s="60" t="s">
        <v>232</v>
      </c>
      <c r="B84" s="60">
        <f>B74</f>
        <v>15037.179487179486</v>
      </c>
      <c r="C84" s="60">
        <f t="shared" ref="C84:L84" si="29">C74</f>
        <v>23336.392307692309</v>
      </c>
      <c r="D84" s="60">
        <f t="shared" si="29"/>
        <v>28682.521353846161</v>
      </c>
      <c r="E84" s="60">
        <f t="shared" si="29"/>
        <v>50104.340793846161</v>
      </c>
      <c r="F84" s="60">
        <f t="shared" si="29"/>
        <v>47430.601241476936</v>
      </c>
      <c r="G84" s="60">
        <f t="shared" si="29"/>
        <v>44836.437315965544</v>
      </c>
      <c r="H84" s="60">
        <f t="shared" si="29"/>
        <v>42326.623554923484</v>
      </c>
      <c r="I84" s="60">
        <f t="shared" si="29"/>
        <v>39906.220968218884</v>
      </c>
      <c r="J84" s="60">
        <f t="shared" si="29"/>
        <v>37580.594226312023</v>
      </c>
      <c r="K84" s="60">
        <f t="shared" si="29"/>
        <v>35355.429879890755</v>
      </c>
      <c r="L84" s="60">
        <f t="shared" si="29"/>
        <v>0</v>
      </c>
    </row>
    <row r="85" spans="1:12" ht="19">
      <c r="A85" s="58"/>
      <c r="B85" s="58"/>
      <c r="C85" s="58"/>
      <c r="D85" s="58"/>
      <c r="E85" s="58"/>
      <c r="F85" s="58"/>
      <c r="G85" s="58"/>
      <c r="H85" s="58"/>
      <c r="I85" s="58"/>
      <c r="J85" s="58"/>
      <c r="K85" s="58"/>
      <c r="L85" s="58"/>
    </row>
    <row r="86" spans="1:12" ht="19">
      <c r="A86" s="64"/>
      <c r="B86" s="65"/>
      <c r="C86" s="64"/>
      <c r="D86" s="64"/>
      <c r="E86" s="64"/>
      <c r="F86" s="64"/>
      <c r="G86" s="64"/>
      <c r="H86" s="64"/>
      <c r="I86" s="64"/>
      <c r="J86" s="64"/>
      <c r="K86" s="64"/>
      <c r="L86" s="64"/>
    </row>
    <row r="87" spans="1:12" ht="19">
      <c r="A87" s="60" t="s">
        <v>186</v>
      </c>
      <c r="B87" s="59"/>
      <c r="C87" s="58"/>
      <c r="D87" s="58"/>
      <c r="E87" s="58"/>
      <c r="F87" s="58"/>
      <c r="G87" s="58"/>
      <c r="H87" s="58"/>
      <c r="I87" s="58"/>
      <c r="J87" s="58"/>
      <c r="K87" s="58"/>
      <c r="L87" s="58"/>
    </row>
    <row r="88" spans="1:12" ht="19">
      <c r="A88" s="58"/>
      <c r="B88" s="59"/>
      <c r="C88" s="58"/>
      <c r="D88" s="58"/>
      <c r="E88" s="58"/>
      <c r="F88" s="58"/>
      <c r="G88" s="58"/>
      <c r="H88" s="58"/>
      <c r="I88" s="58"/>
      <c r="J88" s="58"/>
      <c r="K88" s="58"/>
      <c r="L88" s="58"/>
    </row>
    <row r="89" spans="1:12" ht="19">
      <c r="A89" s="66" t="s">
        <v>73</v>
      </c>
      <c r="B89" s="67"/>
      <c r="C89" s="67">
        <f t="shared" ref="C89:L89" si="30">C37/C32</f>
        <v>0.52810650887573962</v>
      </c>
      <c r="D89" s="67">
        <f t="shared" si="30"/>
        <v>0.52810650887573962</v>
      </c>
      <c r="E89" s="67">
        <f t="shared" si="30"/>
        <v>0.52810650887573962</v>
      </c>
      <c r="F89" s="67">
        <f t="shared" si="30"/>
        <v>0.52810650887573973</v>
      </c>
      <c r="G89" s="67">
        <f t="shared" si="30"/>
        <v>0.52810650887573962</v>
      </c>
      <c r="H89" s="67">
        <f t="shared" si="30"/>
        <v>0.52810650887573951</v>
      </c>
      <c r="I89" s="67">
        <f t="shared" si="30"/>
        <v>0.52810650887573962</v>
      </c>
      <c r="J89" s="67">
        <f t="shared" si="30"/>
        <v>0.52810650887573973</v>
      </c>
      <c r="K89" s="67">
        <f t="shared" si="30"/>
        <v>0.52810650887573962</v>
      </c>
      <c r="L89" s="67">
        <f t="shared" si="30"/>
        <v>0.52810650887573962</v>
      </c>
    </row>
    <row r="90" spans="1:12" ht="19">
      <c r="A90" s="66" t="s">
        <v>74</v>
      </c>
      <c r="B90" s="67"/>
      <c r="C90" s="67">
        <f t="shared" ref="C90:L90" si="31">C41/C32</f>
        <v>-0.43343195266272194</v>
      </c>
      <c r="D90" s="67">
        <f t="shared" si="31"/>
        <v>0.14349112426035507</v>
      </c>
      <c r="E90" s="67">
        <f t="shared" si="31"/>
        <v>0.2877218934911242</v>
      </c>
      <c r="F90" s="67">
        <f t="shared" si="31"/>
        <v>0.33579881656804739</v>
      </c>
      <c r="G90" s="67">
        <f t="shared" si="31"/>
        <v>0.33579881656804733</v>
      </c>
      <c r="H90" s="67">
        <f t="shared" si="31"/>
        <v>0.33579881656804722</v>
      </c>
      <c r="I90" s="67">
        <f t="shared" si="31"/>
        <v>0.33579881656804733</v>
      </c>
      <c r="J90" s="67">
        <f t="shared" si="31"/>
        <v>0.33579881656804739</v>
      </c>
      <c r="K90" s="67">
        <f t="shared" si="31"/>
        <v>0.33579881656804739</v>
      </c>
      <c r="L90" s="67">
        <f t="shared" si="31"/>
        <v>0.33579881656804733</v>
      </c>
    </row>
    <row r="91" spans="1:12" ht="19">
      <c r="A91" s="66" t="s">
        <v>75</v>
      </c>
      <c r="B91" s="67"/>
      <c r="C91" s="67">
        <f t="shared" ref="C91:L91" si="32">C45/C32</f>
        <v>-0.56949871608797598</v>
      </c>
      <c r="D91" s="67">
        <f t="shared" si="32"/>
        <v>9.2145175797995069E-2</v>
      </c>
      <c r="E91" s="67">
        <f t="shared" si="32"/>
        <v>0.20698927012263368</v>
      </c>
      <c r="F91" s="67">
        <f t="shared" si="32"/>
        <v>0.27486853478050732</v>
      </c>
      <c r="G91" s="67">
        <f t="shared" si="32"/>
        <v>0.27831741865527371</v>
      </c>
      <c r="H91" s="67">
        <f t="shared" si="32"/>
        <v>0.28157108268807213</v>
      </c>
      <c r="I91" s="67">
        <f t="shared" si="32"/>
        <v>0.28464057705863688</v>
      </c>
      <c r="J91" s="67">
        <f t="shared" si="32"/>
        <v>0.28753632646482996</v>
      </c>
      <c r="K91" s="67">
        <f t="shared" si="32"/>
        <v>0.29026816552727625</v>
      </c>
      <c r="L91" s="67">
        <f t="shared" si="32"/>
        <v>0.29284537218996132</v>
      </c>
    </row>
    <row r="92" spans="1:12" ht="19">
      <c r="A92" s="66" t="s">
        <v>76</v>
      </c>
      <c r="B92" s="67"/>
      <c r="C92" s="67">
        <f t="shared" ref="C92:L92" si="33">C72/C32</f>
        <v>0.89227071005917169</v>
      </c>
      <c r="D92" s="67">
        <f t="shared" si="33"/>
        <v>0.57105325443786992</v>
      </c>
      <c r="E92" s="67">
        <f t="shared" si="33"/>
        <v>0.44613535502958573</v>
      </c>
      <c r="F92" s="67">
        <f t="shared" si="33"/>
        <v>0.35690828402366875</v>
      </c>
      <c r="G92" s="67">
        <f t="shared" si="33"/>
        <v>0.35690828402366859</v>
      </c>
      <c r="H92" s="67">
        <f t="shared" si="33"/>
        <v>0.35690828402366875</v>
      </c>
      <c r="I92" s="67">
        <f t="shared" si="33"/>
        <v>0.35690828402366848</v>
      </c>
      <c r="J92" s="67">
        <f t="shared" si="33"/>
        <v>0.3569082840236687</v>
      </c>
      <c r="K92" s="67">
        <f t="shared" si="33"/>
        <v>0.35690828402366864</v>
      </c>
      <c r="L92" s="67">
        <f t="shared" si="33"/>
        <v>0</v>
      </c>
    </row>
    <row r="93" spans="1:12" ht="19">
      <c r="A93" s="68" t="s">
        <v>77</v>
      </c>
      <c r="B93" s="59"/>
      <c r="C93" s="54">
        <f t="shared" ref="C93:K93" si="34">2*C32/(C74+B74)</f>
        <v>0.57456210013128028</v>
      </c>
      <c r="D93" s="54">
        <f t="shared" si="34"/>
        <v>1.1231914680140596</v>
      </c>
      <c r="E93" s="54">
        <f t="shared" si="34"/>
        <v>1.2577291251204177</v>
      </c>
      <c r="F93" s="54">
        <f t="shared" si="34"/>
        <v>1.3461596541724452</v>
      </c>
      <c r="G93" s="54">
        <f t="shared" si="34"/>
        <v>1.5083984730229951</v>
      </c>
      <c r="H93" s="54">
        <f t="shared" si="34"/>
        <v>1.6925287639123652</v>
      </c>
      <c r="I93" s="54">
        <f t="shared" si="34"/>
        <v>1.9016434107553339</v>
      </c>
      <c r="J93" s="54">
        <f t="shared" si="34"/>
        <v>2.1392052226571199</v>
      </c>
      <c r="K93" s="54">
        <f t="shared" si="34"/>
        <v>2.4090401675917144</v>
      </c>
      <c r="L93" s="54">
        <f>L32/(K74)</f>
        <v>2.6339399785715796</v>
      </c>
    </row>
    <row r="94" spans="1:12" ht="19">
      <c r="A94" s="66" t="s">
        <v>78</v>
      </c>
      <c r="B94" s="67"/>
      <c r="C94" s="67">
        <f t="shared" ref="C94:K94" si="35">2*C45/(C74+B74)</f>
        <v>-0.32721237833757516</v>
      </c>
      <c r="D94" s="67">
        <f t="shared" si="35"/>
        <v>0.10349667527496367</v>
      </c>
      <c r="E94" s="67">
        <f t="shared" si="35"/>
        <v>0.26033643362065384</v>
      </c>
      <c r="F94" s="67">
        <f t="shared" si="35"/>
        <v>0.37001693172301447</v>
      </c>
      <c r="G94" s="67">
        <f t="shared" si="35"/>
        <v>0.41981356931531655</v>
      </c>
      <c r="H94" s="67">
        <f t="shared" si="35"/>
        <v>0.47656715653550913</v>
      </c>
      <c r="I94" s="67">
        <f t="shared" si="35"/>
        <v>0.54128487779715262</v>
      </c>
      <c r="J94" s="67">
        <f t="shared" si="35"/>
        <v>0.6150992112772069</v>
      </c>
      <c r="K94" s="67">
        <f t="shared" si="35"/>
        <v>0.6992676701283691</v>
      </c>
      <c r="L94" s="67">
        <f>L45/(K74)</f>
        <v>0.771337133350813</v>
      </c>
    </row>
    <row r="95" spans="1:12" ht="19">
      <c r="A95" s="62"/>
      <c r="B95" s="63"/>
      <c r="C95" s="62"/>
      <c r="D95" s="62"/>
      <c r="E95" s="62"/>
      <c r="F95" s="62"/>
      <c r="G95" s="62"/>
      <c r="H95" s="62"/>
      <c r="I95" s="62"/>
      <c r="J95" s="62"/>
      <c r="K95" s="62"/>
      <c r="L95" s="62"/>
    </row>
    <row r="96" spans="1:12" ht="20" thickBot="1">
      <c r="A96" s="69"/>
      <c r="B96" s="70"/>
      <c r="C96" s="69" t="s">
        <v>41</v>
      </c>
      <c r="D96" s="69"/>
      <c r="E96" s="69"/>
      <c r="F96" s="69"/>
      <c r="G96" s="69"/>
      <c r="H96" s="69"/>
      <c r="I96" s="69"/>
      <c r="J96" s="69"/>
      <c r="K96" s="69"/>
      <c r="L96" s="69"/>
    </row>
    <row r="97" spans="1:12" ht="23" thickTop="1" thickBot="1">
      <c r="A97" s="22" t="s">
        <v>79</v>
      </c>
      <c r="B97" s="70"/>
      <c r="C97" s="69"/>
      <c r="D97" s="69"/>
      <c r="E97" s="69"/>
      <c r="F97" s="69"/>
      <c r="G97" s="69"/>
      <c r="H97" s="69"/>
      <c r="I97" s="69"/>
      <c r="J97" s="69"/>
      <c r="K97" s="69"/>
      <c r="L97" s="69"/>
    </row>
    <row r="98" spans="1:12" ht="20" thickTop="1">
      <c r="A98" s="23"/>
      <c r="B98" s="23"/>
      <c r="C98" s="23"/>
      <c r="D98" s="23"/>
      <c r="E98" s="23"/>
      <c r="F98" s="23"/>
      <c r="G98" s="23"/>
      <c r="H98" s="23"/>
      <c r="I98" s="23"/>
      <c r="J98" s="23"/>
      <c r="K98" s="23"/>
      <c r="L98" s="23"/>
    </row>
    <row r="99" spans="1:12" ht="19">
      <c r="A99" s="71" t="s">
        <v>62</v>
      </c>
      <c r="B99" s="71">
        <v>0</v>
      </c>
      <c r="C99" s="71">
        <f>B99+1</f>
        <v>1</v>
      </c>
      <c r="D99" s="71">
        <f>C99+1</f>
        <v>2</v>
      </c>
      <c r="E99" s="71">
        <f t="shared" ref="E99:L99" si="36">D99+1</f>
        <v>3</v>
      </c>
      <c r="F99" s="71">
        <f t="shared" si="36"/>
        <v>4</v>
      </c>
      <c r="G99" s="71">
        <f t="shared" si="36"/>
        <v>5</v>
      </c>
      <c r="H99" s="71">
        <f t="shared" si="36"/>
        <v>6</v>
      </c>
      <c r="I99" s="71">
        <f t="shared" si="36"/>
        <v>7</v>
      </c>
      <c r="J99" s="71">
        <f t="shared" si="36"/>
        <v>8</v>
      </c>
      <c r="K99" s="71">
        <f t="shared" si="36"/>
        <v>9</v>
      </c>
      <c r="L99" s="71">
        <f t="shared" si="36"/>
        <v>10</v>
      </c>
    </row>
    <row r="100" spans="1:12" ht="19">
      <c r="A100" s="51"/>
      <c r="B100" s="51"/>
      <c r="C100" s="51"/>
      <c r="D100" s="51"/>
      <c r="E100" s="51"/>
      <c r="F100" s="51"/>
      <c r="G100" s="51"/>
      <c r="H100" s="51"/>
      <c r="I100" s="51"/>
      <c r="J100" s="51"/>
      <c r="K100" s="51"/>
      <c r="L100" s="51"/>
    </row>
    <row r="101" spans="1:12" ht="19">
      <c r="A101" s="72" t="s">
        <v>80</v>
      </c>
      <c r="B101" s="72"/>
      <c r="C101" s="72">
        <f t="shared" ref="C101:L101" si="37">C41</f>
        <v>-4778.1538461538466</v>
      </c>
      <c r="D101" s="72">
        <f t="shared" si="37"/>
        <v>4191.8923076923093</v>
      </c>
      <c r="E101" s="72">
        <f t="shared" si="37"/>
        <v>14255.545353846155</v>
      </c>
      <c r="F101" s="72">
        <f t="shared" si="37"/>
        <v>22044.78999384616</v>
      </c>
      <c r="G101" s="72">
        <f t="shared" si="37"/>
        <v>23367.477393476933</v>
      </c>
      <c r="H101" s="72">
        <f t="shared" si="37"/>
        <v>24769.526037085539</v>
      </c>
      <c r="I101" s="72">
        <f t="shared" si="37"/>
        <v>26255.697599310686</v>
      </c>
      <c r="J101" s="72">
        <f t="shared" si="37"/>
        <v>27831.039455269325</v>
      </c>
      <c r="K101" s="72">
        <f t="shared" si="37"/>
        <v>29500.901822585489</v>
      </c>
      <c r="L101" s="72">
        <f t="shared" si="37"/>
        <v>31270.955931940614</v>
      </c>
    </row>
    <row r="102" spans="1:12" ht="19">
      <c r="A102" s="72" t="s">
        <v>81</v>
      </c>
      <c r="B102" s="72"/>
      <c r="C102" s="72">
        <f t="shared" ref="C102:L102" si="38">C101*(1-$F24)</f>
        <v>-3344.7076923076925</v>
      </c>
      <c r="D102" s="72">
        <f t="shared" si="38"/>
        <v>2934.3246153846162</v>
      </c>
      <c r="E102" s="72">
        <f t="shared" si="38"/>
        <v>9978.8817476923086</v>
      </c>
      <c r="F102" s="72">
        <f t="shared" si="38"/>
        <v>15431.35299569231</v>
      </c>
      <c r="G102" s="72">
        <f t="shared" si="38"/>
        <v>16357.234175433852</v>
      </c>
      <c r="H102" s="72">
        <f t="shared" si="38"/>
        <v>17338.668225959875</v>
      </c>
      <c r="I102" s="72">
        <f t="shared" si="38"/>
        <v>18378.988319517481</v>
      </c>
      <c r="J102" s="72">
        <f t="shared" si="38"/>
        <v>19481.727618688525</v>
      </c>
      <c r="K102" s="72">
        <f t="shared" si="38"/>
        <v>20650.631275809839</v>
      </c>
      <c r="L102" s="72">
        <f t="shared" si="38"/>
        <v>21889.66915235843</v>
      </c>
    </row>
    <row r="103" spans="1:12" ht="19">
      <c r="A103" s="72"/>
      <c r="B103" s="72"/>
      <c r="C103" s="72"/>
      <c r="D103" s="72"/>
      <c r="E103" s="72"/>
      <c r="F103" s="72"/>
      <c r="G103" s="72"/>
      <c r="H103" s="72"/>
      <c r="I103" s="72"/>
      <c r="J103" s="72"/>
      <c r="K103" s="72"/>
      <c r="L103" s="72"/>
    </row>
    <row r="104" spans="1:12" ht="19">
      <c r="A104" s="72" t="s">
        <v>82</v>
      </c>
      <c r="B104" s="72"/>
      <c r="C104" s="72">
        <f t="shared" ref="C104:L104" si="39">-C43</f>
        <v>1500</v>
      </c>
      <c r="D104" s="72">
        <f t="shared" si="39"/>
        <v>1500</v>
      </c>
      <c r="E104" s="72">
        <f t="shared" si="39"/>
        <v>4000</v>
      </c>
      <c r="F104" s="72">
        <f t="shared" si="39"/>
        <v>4000</v>
      </c>
      <c r="G104" s="72">
        <f t="shared" si="39"/>
        <v>4000</v>
      </c>
      <c r="H104" s="72">
        <f t="shared" si="39"/>
        <v>4000</v>
      </c>
      <c r="I104" s="72">
        <f t="shared" si="39"/>
        <v>4000</v>
      </c>
      <c r="J104" s="72">
        <f t="shared" si="39"/>
        <v>4000</v>
      </c>
      <c r="K104" s="72">
        <f t="shared" si="39"/>
        <v>4000</v>
      </c>
      <c r="L104" s="72">
        <f t="shared" si="39"/>
        <v>4000</v>
      </c>
    </row>
    <row r="105" spans="1:12" ht="19">
      <c r="A105" s="72" t="s">
        <v>83</v>
      </c>
      <c r="B105" s="72"/>
      <c r="C105" s="72">
        <f t="shared" ref="C105:L105" si="40">C104*$F24</f>
        <v>450</v>
      </c>
      <c r="D105" s="72">
        <f t="shared" si="40"/>
        <v>450</v>
      </c>
      <c r="E105" s="72">
        <f t="shared" si="40"/>
        <v>1200</v>
      </c>
      <c r="F105" s="72">
        <f t="shared" si="40"/>
        <v>1200</v>
      </c>
      <c r="G105" s="72">
        <f t="shared" si="40"/>
        <v>1200</v>
      </c>
      <c r="H105" s="72">
        <f t="shared" si="40"/>
        <v>1200</v>
      </c>
      <c r="I105" s="72">
        <f t="shared" si="40"/>
        <v>1200</v>
      </c>
      <c r="J105" s="72">
        <f t="shared" si="40"/>
        <v>1200</v>
      </c>
      <c r="K105" s="72">
        <f t="shared" si="40"/>
        <v>1200</v>
      </c>
      <c r="L105" s="72">
        <f t="shared" si="40"/>
        <v>1200</v>
      </c>
    </row>
    <row r="106" spans="1:12" ht="19">
      <c r="A106" s="72"/>
      <c r="B106" s="72"/>
      <c r="C106" s="72"/>
      <c r="D106" s="72"/>
      <c r="E106" s="72"/>
      <c r="F106" s="72"/>
      <c r="G106" s="72"/>
      <c r="H106" s="72"/>
      <c r="I106" s="72"/>
      <c r="J106" s="72"/>
      <c r="K106" s="72"/>
      <c r="L106" s="72"/>
    </row>
    <row r="107" spans="1:12" ht="19">
      <c r="A107" s="72" t="s">
        <v>84</v>
      </c>
      <c r="B107" s="72"/>
      <c r="C107" s="72">
        <f>C102+C105</f>
        <v>-2894.7076923076925</v>
      </c>
      <c r="D107" s="72">
        <f t="shared" ref="D107:L107" si="41">D102+D105</f>
        <v>3384.3246153846162</v>
      </c>
      <c r="E107" s="72">
        <f t="shared" si="41"/>
        <v>11178.881747692309</v>
      </c>
      <c r="F107" s="72">
        <f t="shared" si="41"/>
        <v>16631.352995692308</v>
      </c>
      <c r="G107" s="72">
        <f t="shared" si="41"/>
        <v>17557.234175433852</v>
      </c>
      <c r="H107" s="72">
        <f t="shared" si="41"/>
        <v>18538.668225959875</v>
      </c>
      <c r="I107" s="72">
        <f t="shared" si="41"/>
        <v>19578.988319517481</v>
      </c>
      <c r="J107" s="72">
        <f t="shared" si="41"/>
        <v>20681.727618688525</v>
      </c>
      <c r="K107" s="72">
        <f t="shared" si="41"/>
        <v>21850.631275809839</v>
      </c>
      <c r="L107" s="72">
        <f t="shared" si="41"/>
        <v>23089.66915235843</v>
      </c>
    </row>
    <row r="108" spans="1:12" ht="19">
      <c r="A108" s="72"/>
      <c r="B108" s="72"/>
      <c r="C108" s="72"/>
      <c r="D108" s="72"/>
      <c r="E108" s="72"/>
      <c r="F108" s="72"/>
      <c r="G108" s="72"/>
      <c r="H108" s="72"/>
      <c r="I108" s="72"/>
      <c r="J108" s="72"/>
      <c r="K108" s="72"/>
      <c r="L108" s="72"/>
    </row>
    <row r="109" spans="1:12" ht="19">
      <c r="A109" s="72" t="s">
        <v>85</v>
      </c>
      <c r="B109" s="72">
        <f>-C6</f>
        <v>-15000</v>
      </c>
      <c r="C109" s="72"/>
      <c r="D109" s="215">
        <f>-C7</f>
        <v>-20000</v>
      </c>
      <c r="E109" s="72"/>
      <c r="F109" s="72"/>
      <c r="G109" s="72"/>
      <c r="H109" s="72"/>
      <c r="I109" s="72"/>
      <c r="J109" s="72"/>
      <c r="K109" s="72"/>
      <c r="L109" s="72"/>
    </row>
    <row r="110" spans="1:12" ht="19">
      <c r="A110" s="72"/>
      <c r="B110" s="72"/>
      <c r="C110" s="72"/>
      <c r="D110" s="72"/>
      <c r="E110" s="72"/>
      <c r="F110" s="72"/>
      <c r="G110" s="72"/>
      <c r="H110" s="72"/>
      <c r="I110" s="72"/>
      <c r="J110" s="72"/>
      <c r="K110" s="72"/>
      <c r="L110" s="72"/>
    </row>
    <row r="111" spans="1:12" ht="19">
      <c r="A111" s="72" t="s">
        <v>86</v>
      </c>
      <c r="B111" s="72">
        <f>-B72</f>
        <v>-37.179487179487069</v>
      </c>
      <c r="C111" s="72">
        <f>B72-C72</f>
        <v>-9799.2128205128229</v>
      </c>
      <c r="D111" s="72">
        <f t="shared" ref="D111:L111" si="42">C72-D72</f>
        <v>-6846.129046153852</v>
      </c>
      <c r="E111" s="72">
        <f t="shared" si="42"/>
        <v>-5421.8194399999957</v>
      </c>
      <c r="F111" s="72">
        <f t="shared" si="42"/>
        <v>-1326.2604476307788</v>
      </c>
      <c r="G111" s="72">
        <f>F72-G72</f>
        <v>-1405.8360744886086</v>
      </c>
      <c r="H111" s="72">
        <f t="shared" si="42"/>
        <v>-1490.1862389579437</v>
      </c>
      <c r="I111" s="72">
        <f t="shared" si="42"/>
        <v>-1579.5974132953961</v>
      </c>
      <c r="J111" s="72">
        <f t="shared" si="42"/>
        <v>-1674.3732580931392</v>
      </c>
      <c r="K111" s="72">
        <f t="shared" si="42"/>
        <v>-1774.8356535787279</v>
      </c>
      <c r="L111" s="72">
        <f t="shared" si="42"/>
        <v>31355.429879890751</v>
      </c>
    </row>
    <row r="112" spans="1:12" ht="19">
      <c r="A112" s="72"/>
      <c r="B112" s="72"/>
      <c r="C112" s="72"/>
      <c r="D112" s="72"/>
      <c r="E112" s="72"/>
      <c r="F112" s="72"/>
      <c r="G112" s="72"/>
      <c r="H112" s="72"/>
      <c r="I112" s="72"/>
      <c r="J112" s="72"/>
      <c r="K112" s="72"/>
      <c r="L112" s="72"/>
    </row>
    <row r="113" spans="1:12" ht="19">
      <c r="A113" s="72" t="s">
        <v>87</v>
      </c>
      <c r="B113" s="72"/>
      <c r="C113" s="72"/>
      <c r="D113" s="72"/>
      <c r="E113" s="72"/>
      <c r="F113" s="72"/>
      <c r="G113" s="72"/>
      <c r="H113" s="72"/>
      <c r="I113" s="72"/>
      <c r="J113" s="72"/>
      <c r="K113" s="72"/>
      <c r="L113" s="72">
        <f>F6+F7</f>
        <v>4000</v>
      </c>
    </row>
    <row r="114" spans="1:12" ht="19">
      <c r="A114" s="72" t="s">
        <v>88</v>
      </c>
      <c r="B114" s="72"/>
      <c r="C114" s="72"/>
      <c r="D114" s="72"/>
      <c r="E114" s="72"/>
      <c r="F114" s="72"/>
      <c r="G114" s="72"/>
      <c r="H114" s="72"/>
      <c r="I114" s="72"/>
      <c r="J114" s="72"/>
      <c r="K114" s="72"/>
      <c r="L114" s="72">
        <f>-L113*I6</f>
        <v>-1000</v>
      </c>
    </row>
    <row r="115" spans="1:12" ht="19">
      <c r="A115" s="72"/>
      <c r="B115" s="72"/>
      <c r="C115" s="72"/>
      <c r="D115" s="72"/>
      <c r="E115" s="72"/>
      <c r="F115" s="72"/>
      <c r="G115" s="72"/>
      <c r="H115" s="72"/>
      <c r="I115" s="72"/>
      <c r="J115" s="72"/>
      <c r="K115" s="72"/>
      <c r="L115" s="72"/>
    </row>
    <row r="116" spans="1:12" ht="19">
      <c r="A116" s="72" t="s">
        <v>89</v>
      </c>
      <c r="B116" s="72">
        <f>B109+B111</f>
        <v>-15037.179487179486</v>
      </c>
      <c r="C116" s="72">
        <f>C107+C111</f>
        <v>-12693.920512820516</v>
      </c>
      <c r="D116" s="72">
        <f>D107+D111+D109</f>
        <v>-23461.804430769236</v>
      </c>
      <c r="E116" s="72">
        <f t="shared" ref="E116:K116" si="43">E107+E111</f>
        <v>5757.062307692313</v>
      </c>
      <c r="F116" s="72">
        <f t="shared" si="43"/>
        <v>15305.09254806153</v>
      </c>
      <c r="G116" s="72">
        <f t="shared" si="43"/>
        <v>16151.398100945244</v>
      </c>
      <c r="H116" s="72">
        <f t="shared" si="43"/>
        <v>17048.481987001931</v>
      </c>
      <c r="I116" s="72">
        <f t="shared" si="43"/>
        <v>17999.390906222085</v>
      </c>
      <c r="J116" s="72">
        <f t="shared" si="43"/>
        <v>19007.354360595386</v>
      </c>
      <c r="K116" s="72">
        <f t="shared" si="43"/>
        <v>20075.795622231111</v>
      </c>
      <c r="L116" s="72">
        <f>L107+L111+L113+L114</f>
        <v>57445.099032249185</v>
      </c>
    </row>
    <row r="117" spans="1:12" ht="19">
      <c r="A117" s="72"/>
      <c r="B117" s="72"/>
      <c r="C117" s="72"/>
      <c r="D117" s="72"/>
      <c r="E117" s="72"/>
      <c r="F117" s="72"/>
      <c r="G117" s="72"/>
      <c r="H117" s="72"/>
      <c r="I117" s="72"/>
      <c r="J117" s="72"/>
      <c r="K117" s="72"/>
      <c r="L117" s="72"/>
    </row>
    <row r="118" spans="1:12" ht="19">
      <c r="A118" s="72" t="s">
        <v>90</v>
      </c>
      <c r="B118" s="72">
        <f>B116/((1+$B39)^B99)</f>
        <v>-15037.179487179486</v>
      </c>
      <c r="C118" s="72">
        <f t="shared" ref="C118:L118" si="44">C116/((1+$B24)^C99)</f>
        <v>-11496.429430482587</v>
      </c>
      <c r="D118" s="72">
        <f t="shared" si="44"/>
        <v>-19244.020768086808</v>
      </c>
      <c r="E118" s="72">
        <f t="shared" si="44"/>
        <v>4276.6384833538359</v>
      </c>
      <c r="F118" s="72">
        <f t="shared" si="44"/>
        <v>10296.859176518405</v>
      </c>
      <c r="G118" s="72">
        <f t="shared" si="44"/>
        <v>9841.156498945702</v>
      </c>
      <c r="H118" s="72">
        <f t="shared" si="44"/>
        <v>9407.8185992135823</v>
      </c>
      <c r="I118" s="72">
        <f t="shared" si="44"/>
        <v>8995.5605664055711</v>
      </c>
      <c r="J118" s="72">
        <f t="shared" si="44"/>
        <v>8603.185710517484</v>
      </c>
      <c r="K118" s="72">
        <f t="shared" si="44"/>
        <v>8229.5785596211263</v>
      </c>
      <c r="L118" s="72">
        <f t="shared" si="44"/>
        <v>21326.766565219466</v>
      </c>
    </row>
    <row r="119" spans="1:12" ht="19">
      <c r="A119" s="72"/>
      <c r="B119" s="72"/>
      <c r="C119" s="72"/>
      <c r="D119" s="72"/>
      <c r="E119" s="72"/>
      <c r="F119" s="72"/>
      <c r="G119" s="72"/>
      <c r="H119" s="72"/>
      <c r="I119" s="72"/>
      <c r="J119" s="72"/>
      <c r="K119" s="72"/>
      <c r="L119" s="72"/>
    </row>
    <row r="120" spans="1:12" ht="19">
      <c r="A120" s="72" t="s">
        <v>91</v>
      </c>
      <c r="B120" s="72">
        <f>B118</f>
        <v>-15037.179487179486</v>
      </c>
      <c r="C120" s="72">
        <f>B120+C118</f>
        <v>-26533.608917662074</v>
      </c>
      <c r="D120" s="72">
        <f t="shared" ref="D120:K120" si="45">C120+D118</f>
        <v>-45777.629685748878</v>
      </c>
      <c r="E120" s="72">
        <f t="shared" si="45"/>
        <v>-41500.991202395046</v>
      </c>
      <c r="F120" s="72">
        <f t="shared" si="45"/>
        <v>-31204.132025876643</v>
      </c>
      <c r="G120" s="72">
        <f t="shared" si="45"/>
        <v>-21362.975526930939</v>
      </c>
      <c r="H120" s="72">
        <f t="shared" si="45"/>
        <v>-11955.156927717357</v>
      </c>
      <c r="I120" s="72">
        <f t="shared" si="45"/>
        <v>-2959.5963613117856</v>
      </c>
      <c r="J120" s="72">
        <f t="shared" si="45"/>
        <v>5643.5893492056985</v>
      </c>
      <c r="K120" s="72">
        <f t="shared" si="45"/>
        <v>13873.167908826825</v>
      </c>
      <c r="L120" s="72">
        <f>K120+L118</f>
        <v>35199.934474046291</v>
      </c>
    </row>
    <row r="121" spans="1:12" ht="19">
      <c r="A121" s="73"/>
      <c r="B121" s="73"/>
      <c r="C121" s="73"/>
      <c r="D121" s="73"/>
      <c r="E121" s="73"/>
      <c r="F121" s="73"/>
      <c r="G121" s="73"/>
      <c r="H121" s="73"/>
      <c r="I121" s="73"/>
      <c r="J121" s="73"/>
      <c r="K121" s="73"/>
      <c r="L121" s="73"/>
    </row>
    <row r="122" spans="1:12" ht="19">
      <c r="A122" s="35"/>
      <c r="B122" s="36"/>
      <c r="C122" s="36"/>
      <c r="D122" s="36"/>
      <c r="E122" s="36"/>
      <c r="F122" s="36"/>
      <c r="G122" s="36"/>
      <c r="H122" s="36"/>
      <c r="I122" s="36"/>
      <c r="J122" s="36"/>
      <c r="K122" s="36"/>
      <c r="L122" s="38"/>
    </row>
    <row r="123" spans="1:12" ht="19">
      <c r="A123" s="80" t="s">
        <v>247</v>
      </c>
      <c r="B123" s="27">
        <f>L120</f>
        <v>35199.934474046291</v>
      </c>
      <c r="E123" s="81" t="s">
        <v>92</v>
      </c>
      <c r="F123" s="23"/>
      <c r="G123" s="23"/>
      <c r="H123" s="82">
        <f>IRR(B116:L116,0)</f>
        <v>0.21779141116927692</v>
      </c>
      <c r="J123" s="32" t="s">
        <v>141</v>
      </c>
      <c r="L123" s="83">
        <f>IRR(B55:L55,10%)</f>
        <v>0.25110310258510249</v>
      </c>
    </row>
    <row r="124" spans="1:12" ht="19">
      <c r="A124" s="39"/>
      <c r="B124" s="23"/>
      <c r="C124" s="23"/>
      <c r="D124" s="23"/>
      <c r="E124" s="23"/>
      <c r="F124" s="23"/>
      <c r="G124" s="23"/>
      <c r="H124" s="23"/>
      <c r="I124" s="23"/>
      <c r="J124" s="23"/>
      <c r="K124" s="23"/>
      <c r="L124" s="41"/>
    </row>
    <row r="125" spans="1:12" ht="19">
      <c r="A125" s="84" t="s">
        <v>93</v>
      </c>
      <c r="B125" s="27">
        <v>8</v>
      </c>
      <c r="C125" s="23" t="s">
        <v>94</v>
      </c>
      <c r="D125" s="23"/>
      <c r="E125" s="26" t="s">
        <v>144</v>
      </c>
      <c r="F125" s="26"/>
      <c r="G125" s="26"/>
      <c r="H125" s="96">
        <f>AVERAGE(C94:L94)*(1-F24)</f>
        <v>0.27510050964797966</v>
      </c>
      <c r="I125" s="23"/>
      <c r="J125" s="32" t="s">
        <v>142</v>
      </c>
      <c r="K125" s="23"/>
      <c r="L125" s="83">
        <f>IRR(B59:L59,10%)</f>
        <v>0.1979902350216991</v>
      </c>
    </row>
    <row r="126" spans="1:12">
      <c r="A126" s="13"/>
      <c r="B126" s="14"/>
      <c r="C126" s="14"/>
      <c r="D126" s="14"/>
      <c r="E126" s="14"/>
      <c r="F126" s="14"/>
      <c r="G126" s="14"/>
      <c r="H126" s="14"/>
      <c r="I126" s="14"/>
      <c r="J126" s="14"/>
      <c r="K126" s="14"/>
      <c r="L126" s="15"/>
    </row>
    <row r="127" spans="1:12" ht="17" thickBot="1"/>
    <row r="128" spans="1:12" ht="19">
      <c r="A128" s="85"/>
      <c r="B128" s="86"/>
      <c r="C128" s="87"/>
    </row>
    <row r="129" spans="1:3" ht="19">
      <c r="A129" s="88" t="s">
        <v>143</v>
      </c>
      <c r="B129" s="89">
        <f>-NPV(CMPC!B34,'Business Plan par étages'!B59:L59)</f>
        <v>3736.4900240364823</v>
      </c>
      <c r="C129" s="90" t="s">
        <v>262</v>
      </c>
    </row>
    <row r="130" spans="1:3" ht="19">
      <c r="A130" s="91"/>
      <c r="B130" s="26"/>
      <c r="C130" s="90"/>
    </row>
    <row r="131" spans="1:3" ht="19">
      <c r="A131" s="91"/>
      <c r="B131" s="92">
        <f>-NPV(CMPC!C26,'Business Plan par étages'!B55:L55)</f>
        <v>31134.610301669312</v>
      </c>
      <c r="C131" s="90" t="s">
        <v>234</v>
      </c>
    </row>
    <row r="132" spans="1:3" ht="20" thickBot="1">
      <c r="A132" s="93"/>
      <c r="B132" s="94"/>
      <c r="C132" s="95"/>
    </row>
  </sheetData>
  <pageMargins left="0.7" right="0.7" top="0.75" bottom="0.75" header="0.3" footer="0.3"/>
  <ignoredErrors>
    <ignoredError sqref="E62" formula="1"/>
  </ignoredErrors>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F75A920FEAF647B1CF60DEB1095A16" ma:contentTypeVersion="5" ma:contentTypeDescription="Crée un document." ma:contentTypeScope="" ma:versionID="ebe592d65bb6d78d4840d14b95aaca7f">
  <xsd:schema xmlns:xsd="http://www.w3.org/2001/XMLSchema" xmlns:xs="http://www.w3.org/2001/XMLSchema" xmlns:p="http://schemas.microsoft.com/office/2006/metadata/properties" xmlns:ns2="b099615d-3c43-4e39-b520-2e5fbb06347c" xmlns:ns3="835df2c1-7482-4d18-9806-8750a4efcc81" targetNamespace="http://schemas.microsoft.com/office/2006/metadata/properties" ma:root="true" ma:fieldsID="636c2aa6b67c3d2dc66db7775e8b2afd" ns2:_="" ns3:_="">
    <xsd:import namespace="b099615d-3c43-4e39-b520-2e5fbb06347c"/>
    <xsd:import namespace="835df2c1-7482-4d18-9806-8750a4efcc8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99615d-3c43-4e39-b520-2e5fbb063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5df2c1-7482-4d18-9806-8750a4efcc81"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213F6D-BFC2-410F-B10A-72F0FECAC23F}">
  <ds:schemaRefs>
    <ds:schemaRef ds:uri="http://schemas.microsoft.com/office/2006/metadata/properties"/>
    <ds:schemaRef ds:uri="http://www.w3.org/XML/1998/namespace"/>
    <ds:schemaRef ds:uri="835df2c1-7482-4d18-9806-8750a4efcc81"/>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b099615d-3c43-4e39-b520-2e5fbb06347c"/>
  </ds:schemaRefs>
</ds:datastoreItem>
</file>

<file path=customXml/itemProps2.xml><?xml version="1.0" encoding="utf-8"?>
<ds:datastoreItem xmlns:ds="http://schemas.openxmlformats.org/officeDocument/2006/customXml" ds:itemID="{9C29FE57-66DD-4AFA-A342-CB8CC583B7CF}">
  <ds:schemaRefs>
    <ds:schemaRef ds:uri="http://schemas.microsoft.com/sharepoint/v3/contenttype/forms"/>
  </ds:schemaRefs>
</ds:datastoreItem>
</file>

<file path=customXml/itemProps3.xml><?xml version="1.0" encoding="utf-8"?>
<ds:datastoreItem xmlns:ds="http://schemas.openxmlformats.org/officeDocument/2006/customXml" ds:itemID="{0498571F-7F88-41FB-A27C-43AC09719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99615d-3c43-4e39-b520-2e5fbb06347c"/>
    <ds:schemaRef ds:uri="835df2c1-7482-4d18-9806-8750a4efc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Feuilles de calcul</vt:lpstr>
      </vt:variant>
      <vt:variant>
        <vt:i4>10</vt:i4>
      </vt:variant>
      <vt:variant>
        <vt:lpstr>Graphiques</vt:lpstr>
      </vt:variant>
      <vt:variant>
        <vt:i4>1</vt:i4>
      </vt:variant>
      <vt:variant>
        <vt:lpstr>Plages nommées</vt:lpstr>
      </vt:variant>
      <vt:variant>
        <vt:i4>12</vt:i4>
      </vt:variant>
    </vt:vector>
  </HeadingPairs>
  <TitlesOfParts>
    <vt:vector size="23" baseType="lpstr">
      <vt:lpstr>Présentation</vt:lpstr>
      <vt:lpstr>Situation</vt:lpstr>
      <vt:lpstr>Calcul des coûts</vt:lpstr>
      <vt:lpstr>Coromandel</vt:lpstr>
      <vt:lpstr>CMPC</vt:lpstr>
      <vt:lpstr>Business plan</vt:lpstr>
      <vt:lpstr>BP¨500 pleine capacité</vt:lpstr>
      <vt:lpstr>BP¨500 capacité réduite</vt:lpstr>
      <vt:lpstr>Business Plan par étages</vt:lpstr>
      <vt:lpstr>Consolidation</vt:lpstr>
      <vt:lpstr>Beta Coromandel</vt:lpstr>
      <vt:lpstr>CAPEX</vt:lpstr>
      <vt:lpstr>CFX</vt:lpstr>
      <vt:lpstr>CRVU</vt:lpstr>
      <vt:lpstr>INFCR</vt:lpstr>
      <vt:lpstr>INFI</vt:lpstr>
      <vt:lpstr>INFM</vt:lpstr>
      <vt:lpstr>INFPV</vt:lpstr>
      <vt:lpstr>INTG</vt:lpstr>
      <vt:lpstr>INTGIM</vt:lpstr>
      <vt:lpstr>MEE</vt:lpstr>
      <vt:lpstr>PVU</vt:lpstr>
      <vt:lpstr>TIS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Jacquet</dc:creator>
  <cp:lastModifiedBy>Dominique Jacquet</cp:lastModifiedBy>
  <dcterms:created xsi:type="dcterms:W3CDTF">2023-03-31T07:36:45Z</dcterms:created>
  <dcterms:modified xsi:type="dcterms:W3CDTF">2024-02-01T16:54:02Z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0x01010042F75A920FEAF647B1CF60DEB1095A16</vt:lpwstr>
  </property>
</Properties>
</file>